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na\Documents\Personal\"/>
    </mc:Choice>
  </mc:AlternateContent>
  <xr:revisionPtr revIDLastSave="0" documentId="8_{91141E55-AFDC-4E9B-A012-C103EBC95771}" xr6:coauthVersionLast="47" xr6:coauthVersionMax="47" xr10:uidLastSave="{00000000-0000-0000-0000-000000000000}"/>
  <bookViews>
    <workbookView xWindow="-110" yWindow="-110" windowWidth="19420" windowHeight="10420" xr2:uid="{6AB4FF67-E3FF-49BA-A0EE-774B4BE63043}"/>
  </bookViews>
  <sheets>
    <sheet name="Expentiture" sheetId="4" r:id="rId1"/>
    <sheet name="22.23 Income" sheetId="2" state="hidden" r:id="rId2"/>
    <sheet name="Earmarked Reserves" sheetId="3" state="hidden" r:id="rId3"/>
    <sheet name="23.24 Year end forecast" sheetId="1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4" l="1"/>
  <c r="O19" i="4"/>
  <c r="O49" i="4"/>
  <c r="O94" i="4"/>
  <c r="O77" i="4"/>
  <c r="H77" i="4"/>
  <c r="O120" i="4"/>
  <c r="O121" i="4"/>
  <c r="O115" i="4"/>
  <c r="O117" i="4"/>
  <c r="O116" i="4"/>
  <c r="O108" i="4"/>
  <c r="O107" i="4"/>
  <c r="O98" i="4"/>
  <c r="O93" i="4"/>
  <c r="O92" i="4"/>
  <c r="O91" i="4"/>
  <c r="O90" i="4"/>
  <c r="O87" i="4"/>
  <c r="O42" i="4"/>
  <c r="O55" i="4"/>
  <c r="O54" i="4"/>
  <c r="O48" i="4"/>
  <c r="O47" i="4"/>
  <c r="O46" i="4"/>
  <c r="O89" i="4" l="1"/>
  <c r="O40" i="4"/>
  <c r="O43" i="4" s="1"/>
  <c r="O29" i="4"/>
  <c r="O27" i="4"/>
  <c r="O26" i="4"/>
  <c r="N20" i="4"/>
  <c r="N23" i="4" s="1"/>
  <c r="O58" i="4"/>
  <c r="O114" i="4"/>
  <c r="O96" i="4"/>
  <c r="O103" i="4" s="1"/>
  <c r="O118" i="4"/>
  <c r="O110" i="4"/>
  <c r="O84" i="4"/>
  <c r="O65" i="4"/>
  <c r="O72" i="4" s="1"/>
  <c r="O53" i="4"/>
  <c r="O16" i="4"/>
  <c r="N84" i="4"/>
  <c r="N134" i="4"/>
  <c r="N32" i="4"/>
  <c r="N37" i="4"/>
  <c r="N43" i="4"/>
  <c r="N53" i="4"/>
  <c r="N58" i="4"/>
  <c r="N65" i="4"/>
  <c r="N72" i="4" s="1"/>
  <c r="N96" i="4"/>
  <c r="N103" i="4" s="1"/>
  <c r="N110" i="4"/>
  <c r="N118" i="4"/>
  <c r="N16" i="4"/>
  <c r="L20" i="4"/>
  <c r="L23" i="4" s="1"/>
  <c r="M20" i="4"/>
  <c r="M23" i="4" s="1"/>
  <c r="M118" i="4"/>
  <c r="M110" i="4"/>
  <c r="M96" i="4"/>
  <c r="M103" i="4" s="1"/>
  <c r="M81" i="4"/>
  <c r="M84" i="4" s="1"/>
  <c r="M65" i="4"/>
  <c r="M72" i="4" s="1"/>
  <c r="M53" i="4"/>
  <c r="M58" i="4" s="1"/>
  <c r="M43" i="4"/>
  <c r="M37" i="4"/>
  <c r="M32" i="4"/>
  <c r="L32" i="4"/>
  <c r="L118" i="4"/>
  <c r="L110" i="4"/>
  <c r="L96" i="4"/>
  <c r="L103" i="4" s="1"/>
  <c r="L81" i="4"/>
  <c r="L84" i="4" s="1"/>
  <c r="L65" i="4"/>
  <c r="L72" i="4" s="1"/>
  <c r="L53" i="4"/>
  <c r="L58" i="4" s="1"/>
  <c r="L43" i="4"/>
  <c r="L37" i="4"/>
  <c r="F133" i="4"/>
  <c r="I133" i="4" s="1"/>
  <c r="E133" i="4"/>
  <c r="H148" i="4"/>
  <c r="H147" i="4" s="1"/>
  <c r="H143" i="4" s="1"/>
  <c r="H145" i="4" s="1"/>
  <c r="K65" i="4"/>
  <c r="J65" i="4"/>
  <c r="J72" i="4" s="1"/>
  <c r="I65" i="4"/>
  <c r="G65" i="4"/>
  <c r="F110" i="4"/>
  <c r="F122" i="4" s="1"/>
  <c r="J40" i="4"/>
  <c r="J43" i="4" s="1"/>
  <c r="K40" i="4"/>
  <c r="K43" i="4" s="1"/>
  <c r="K118" i="4"/>
  <c r="K110" i="4"/>
  <c r="K96" i="4"/>
  <c r="K103" i="4" s="1"/>
  <c r="K81" i="4"/>
  <c r="K84" i="4" s="1"/>
  <c r="K53" i="4"/>
  <c r="K58" i="4" s="1"/>
  <c r="K37" i="4"/>
  <c r="K32" i="4"/>
  <c r="K23" i="4"/>
  <c r="J23" i="4"/>
  <c r="J32" i="4"/>
  <c r="J37" i="4"/>
  <c r="J53" i="4"/>
  <c r="J58" i="4" s="1"/>
  <c r="J81" i="4"/>
  <c r="J84" i="4" s="1"/>
  <c r="J96" i="4"/>
  <c r="J103" i="4" s="1"/>
  <c r="J110" i="4"/>
  <c r="J118" i="4"/>
  <c r="I40" i="4"/>
  <c r="H40" i="4"/>
  <c r="G40" i="4"/>
  <c r="F16" i="4"/>
  <c r="D10" i="4"/>
  <c r="D16" i="4" s="1"/>
  <c r="N136" i="4" l="1"/>
  <c r="O122" i="4"/>
  <c r="N122" i="4"/>
  <c r="N126" i="4" s="1"/>
  <c r="O20" i="4"/>
  <c r="O23" i="4" s="1"/>
  <c r="N129" i="4"/>
  <c r="O32" i="4"/>
  <c r="L133" i="4"/>
  <c r="L134" i="4" s="1"/>
  <c r="L136" i="4" s="1"/>
  <c r="M133" i="4"/>
  <c r="M134" i="4" s="1"/>
  <c r="M136" i="4" s="1"/>
  <c r="M122" i="4"/>
  <c r="M126" i="4" s="1"/>
  <c r="K133" i="4"/>
  <c r="K134" i="4" s="1"/>
  <c r="K136" i="4" s="1"/>
  <c r="G147" i="4"/>
  <c r="G148" i="4" s="1"/>
  <c r="G150" i="4" s="1"/>
  <c r="H150" i="4"/>
  <c r="L122" i="4"/>
  <c r="L126" i="4" s="1"/>
  <c r="G133" i="4"/>
  <c r="J133" i="4"/>
  <c r="J134" i="4" s="1"/>
  <c r="F147" i="4"/>
  <c r="F148" i="4" s="1"/>
  <c r="F150" i="4" s="1"/>
  <c r="K147" i="4"/>
  <c r="D147" i="4"/>
  <c r="D148" i="4" s="1"/>
  <c r="D150" i="4" s="1"/>
  <c r="I147" i="4"/>
  <c r="E147" i="4"/>
  <c r="M10" i="4" s="1"/>
  <c r="M16" i="4" s="1"/>
  <c r="J147" i="4"/>
  <c r="I129" i="4"/>
  <c r="I131" i="4" s="1"/>
  <c r="K122" i="4"/>
  <c r="J122" i="4"/>
  <c r="I10" i="4"/>
  <c r="I16" i="4" s="1"/>
  <c r="H23" i="4"/>
  <c r="I23" i="4"/>
  <c r="H32" i="4"/>
  <c r="I32" i="4"/>
  <c r="H37" i="4"/>
  <c r="I37" i="4"/>
  <c r="H43" i="4"/>
  <c r="I43" i="4"/>
  <c r="H53" i="4"/>
  <c r="H58" i="4" s="1"/>
  <c r="I53" i="4"/>
  <c r="I58" i="4" s="1"/>
  <c r="H65" i="4"/>
  <c r="H72" i="4" s="1"/>
  <c r="I72" i="4"/>
  <c r="H81" i="4"/>
  <c r="H84" i="4" s="1"/>
  <c r="I81" i="4"/>
  <c r="I84" i="4" s="1"/>
  <c r="H96" i="4"/>
  <c r="H103" i="4" s="1"/>
  <c r="I96" i="4"/>
  <c r="I103" i="4" s="1"/>
  <c r="H110" i="4"/>
  <c r="I110" i="4"/>
  <c r="H118" i="4"/>
  <c r="I118" i="4"/>
  <c r="E138" i="4"/>
  <c r="E137" i="4"/>
  <c r="D129" i="4"/>
  <c r="D131" i="4" s="1"/>
  <c r="O126" i="4" l="1"/>
  <c r="N131" i="4"/>
  <c r="N133" i="4"/>
  <c r="J136" i="4"/>
  <c r="J10" i="4"/>
  <c r="J16" i="4" s="1"/>
  <c r="G143" i="4"/>
  <c r="G145" i="4" s="1"/>
  <c r="M129" i="4"/>
  <c r="M131" i="4" s="1"/>
  <c r="L129" i="4"/>
  <c r="L131" i="4" s="1"/>
  <c r="E148" i="4"/>
  <c r="E150" i="4" s="1"/>
  <c r="L10" i="4"/>
  <c r="L16" i="4" s="1"/>
  <c r="I143" i="4"/>
  <c r="I145" i="4" s="1"/>
  <c r="I148" i="4"/>
  <c r="I150" i="4" s="1"/>
  <c r="K143" i="4"/>
  <c r="K145" i="4" s="1"/>
  <c r="K148" i="4"/>
  <c r="K150" i="4" s="1"/>
  <c r="J148" i="4"/>
  <c r="J150" i="4" s="1"/>
  <c r="J143" i="4"/>
  <c r="J145" i="4" s="1"/>
  <c r="I122" i="4"/>
  <c r="I126" i="4" s="1"/>
  <c r="H133" i="4"/>
  <c r="G134" i="4"/>
  <c r="J129" i="4"/>
  <c r="J131" i="4" s="1"/>
  <c r="H122" i="4"/>
  <c r="H126" i="4" s="1"/>
  <c r="G129" i="4"/>
  <c r="G131" i="4" s="1"/>
  <c r="G10" i="4"/>
  <c r="G16" i="4" s="1"/>
  <c r="J126" i="4"/>
  <c r="E139" i="4"/>
  <c r="H10" i="4" l="1"/>
  <c r="H16" i="4" s="1"/>
  <c r="H129" i="4"/>
  <c r="H131" i="4" s="1"/>
  <c r="K129" i="4"/>
  <c r="K131" i="4" s="1"/>
  <c r="K10" i="4"/>
  <c r="K16" i="4" s="1"/>
  <c r="F103" i="4"/>
  <c r="F84" i="4"/>
  <c r="F72" i="4"/>
  <c r="F43" i="4"/>
  <c r="G96" i="4"/>
  <c r="G103" i="4" s="1"/>
  <c r="F58" i="4" l="1"/>
  <c r="F23" i="4"/>
  <c r="G43" i="4"/>
  <c r="G81" i="4"/>
  <c r="G84" i="4" s="1"/>
  <c r="G72" i="4"/>
  <c r="G118" i="4"/>
  <c r="G110" i="4"/>
  <c r="G122" i="4" s="1"/>
  <c r="G53" i="4"/>
  <c r="G37" i="4"/>
  <c r="G32" i="4"/>
  <c r="G23" i="4"/>
  <c r="F126" i="4" l="1"/>
  <c r="G58" i="4"/>
  <c r="G126" i="4" l="1"/>
  <c r="B53" i="2"/>
  <c r="B55" i="2" s="1"/>
  <c r="D6" i="1"/>
  <c r="D8" i="1"/>
  <c r="D7" i="1"/>
  <c r="E14" i="2"/>
  <c r="E9" i="2"/>
  <c r="E19" i="3"/>
  <c r="F19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4" i="3"/>
  <c r="D5" i="3"/>
  <c r="C19" i="3"/>
  <c r="B19" i="3"/>
  <c r="C47" i="2"/>
  <c r="D47" i="2"/>
  <c r="E47" i="2"/>
  <c r="B47" i="2"/>
  <c r="C41" i="2"/>
  <c r="D41" i="2"/>
  <c r="E41" i="2"/>
  <c r="B41" i="2"/>
  <c r="C39" i="2"/>
  <c r="D39" i="2"/>
  <c r="E39" i="2"/>
  <c r="B39" i="2"/>
  <c r="E24" i="2"/>
  <c r="C24" i="2"/>
  <c r="D24" i="2"/>
  <c r="B24" i="2"/>
  <c r="B29" i="2"/>
  <c r="B31" i="2" s="1"/>
  <c r="B33" i="2" s="1"/>
  <c r="C27" i="2" s="1"/>
  <c r="C29" i="2" s="1"/>
  <c r="C31" i="2" s="1"/>
  <c r="C33" i="2" s="1"/>
  <c r="D27" i="2" s="1"/>
  <c r="D29" i="2" s="1"/>
  <c r="D31" i="2" s="1"/>
  <c r="D33" i="2" s="1"/>
  <c r="E27" i="2" s="1"/>
  <c r="E29" i="2" s="1"/>
  <c r="E31" i="2" s="1"/>
  <c r="E33" i="2" s="1"/>
  <c r="D14" i="2"/>
  <c r="D9" i="2"/>
  <c r="B14" i="2"/>
  <c r="C14" i="2"/>
  <c r="B9" i="2"/>
  <c r="C9" i="2"/>
  <c r="E42" i="2" l="1"/>
  <c r="D19" i="3"/>
  <c r="C42" i="2"/>
  <c r="D42" i="2"/>
  <c r="B42" i="2"/>
  <c r="E134" i="4" l="1"/>
  <c r="F143" i="4" l="1"/>
  <c r="F145" i="4" s="1"/>
  <c r="E143" i="4"/>
  <c r="E145" i="4" s="1"/>
  <c r="D143" i="4"/>
  <c r="D145" i="4" s="1"/>
  <c r="E129" i="4"/>
  <c r="E131" i="4" s="1"/>
  <c r="K72" i="4"/>
  <c r="K126" i="4" s="1"/>
  <c r="O133" i="4"/>
  <c r="O134" i="4" s="1"/>
  <c r="O131" i="4"/>
  <c r="O136" i="4" l="1"/>
</calcChain>
</file>

<file path=xl/sharedStrings.xml><?xml version="1.0" encoding="utf-8"?>
<sst xmlns="http://schemas.openxmlformats.org/spreadsheetml/2006/main" count="296" uniqueCount="264">
  <si>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</si>
  <si>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</si>
  <si>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</si>
  <si>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</si>
  <si>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</si>
  <si>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</si>
  <si>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</si>
  <si>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</si>
  <si>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</si>
  <si>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</si>
  <si>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</si>
  <si>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</si>
  <si>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</t>
  </si>
  <si>
    <t>Microsoft</t>
  </si>
  <si>
    <t>Vodafone</t>
  </si>
  <si>
    <t>OPERATING COSTS</t>
  </si>
  <si>
    <t xml:space="preserve">Claygate Parish Council </t>
  </si>
  <si>
    <t>SUBSCRIPTIONS</t>
  </si>
  <si>
    <t>NALC</t>
  </si>
  <si>
    <t>SALCC</t>
  </si>
  <si>
    <t>GRANTS</t>
  </si>
  <si>
    <t>STAFF</t>
  </si>
  <si>
    <t>Salary</t>
  </si>
  <si>
    <t>Pension</t>
  </si>
  <si>
    <t>Travel</t>
  </si>
  <si>
    <t>Expenses</t>
  </si>
  <si>
    <t>Locum Costs</t>
  </si>
  <si>
    <t>Recruitment</t>
  </si>
  <si>
    <t>Sick leave Contingency</t>
  </si>
  <si>
    <t>Equipment Contingency</t>
  </si>
  <si>
    <t>Salary overtime</t>
  </si>
  <si>
    <t>??????</t>
  </si>
  <si>
    <t>Difribulator upkeep</t>
  </si>
  <si>
    <t>EVENTS</t>
  </si>
  <si>
    <t>Remebrance Day</t>
  </si>
  <si>
    <t>Litter Pick</t>
  </si>
  <si>
    <t>Detritus Day</t>
  </si>
  <si>
    <t>Farmers Market</t>
  </si>
  <si>
    <t>Artisan Market</t>
  </si>
  <si>
    <t>2022/3</t>
  </si>
  <si>
    <t>Precept</t>
  </si>
  <si>
    <t>Precept Grant</t>
  </si>
  <si>
    <t>Interest</t>
  </si>
  <si>
    <t>INCOME SUMMARY</t>
  </si>
  <si>
    <t>OPERATING INCOME</t>
  </si>
  <si>
    <t>General Expentiture</t>
  </si>
  <si>
    <t>Environment</t>
  </si>
  <si>
    <t>SUB TOTAL</t>
  </si>
  <si>
    <t>TOTAL INCOME</t>
  </si>
  <si>
    <t>RUNNING COSTS</t>
  </si>
  <si>
    <t>General Expeniture</t>
  </si>
  <si>
    <t>Other Grants</t>
  </si>
  <si>
    <t>Public Projects</t>
  </si>
  <si>
    <t>Highways</t>
  </si>
  <si>
    <t>Planning</t>
  </si>
  <si>
    <t>Communications</t>
  </si>
  <si>
    <t>TOTAL EXPENDITURE</t>
  </si>
  <si>
    <t>GENERAL FUND ANALYSIS</t>
  </si>
  <si>
    <t>Opening Balance</t>
  </si>
  <si>
    <t>plus: Income for Year</t>
  </si>
  <si>
    <t>Less: Expenditure for Year</t>
  </si>
  <si>
    <t>Transfers to/from Reserves</t>
  </si>
  <si>
    <t>CLOSING BALANCE</t>
  </si>
  <si>
    <t>2024/5 Budget</t>
  </si>
  <si>
    <t>Year End 2022</t>
  </si>
  <si>
    <t>Year End 2023</t>
  </si>
  <si>
    <t>2023/4 Forecast</t>
  </si>
  <si>
    <t>RESERVES RECONCILLIATION</t>
  </si>
  <si>
    <t>TOTAL RESERVES</t>
  </si>
  <si>
    <t>VAT Controls</t>
  </si>
  <si>
    <t>LESS TOTAL DEBTORS</t>
  </si>
  <si>
    <t>Acruals</t>
  </si>
  <si>
    <t>EQUALS TOTAL CASH AND BANK ACCOUNTS</t>
  </si>
  <si>
    <t>TOTAL CREDITORS</t>
  </si>
  <si>
    <t>Petty Cash</t>
  </si>
  <si>
    <t>Cambridge</t>
  </si>
  <si>
    <t>Unity Bank</t>
  </si>
  <si>
    <t>EARMARKED RESERVES</t>
  </si>
  <si>
    <t>Earmarker Reserves</t>
  </si>
  <si>
    <t>EMR Election Fund</t>
  </si>
  <si>
    <t>EMR Rec Grd Clubhouse</t>
  </si>
  <si>
    <t>EMR Planning Project Equity</t>
  </si>
  <si>
    <t>EMR Clatgate Scouts</t>
  </si>
  <si>
    <t>EMR Old CIL</t>
  </si>
  <si>
    <t>EMR CIL 17/18</t>
  </si>
  <si>
    <t>EMR CIL 18/19</t>
  </si>
  <si>
    <t>EMR CIL 19/20</t>
  </si>
  <si>
    <t>EMR CIL 20/21</t>
  </si>
  <si>
    <t>EMR CIL 21/22</t>
  </si>
  <si>
    <t>EMR Claygate School Pool</t>
  </si>
  <si>
    <t>EMR CIL Claygate School Pool</t>
  </si>
  <si>
    <t>EMR Grant Emmanuel Hall 21/22</t>
  </si>
  <si>
    <t>EMR Hanging Baskets 23/24</t>
  </si>
  <si>
    <t>Claygate Earmarked Reserves</t>
  </si>
  <si>
    <t>Closing Budget 23/24</t>
  </si>
  <si>
    <t>BALANCE</t>
  </si>
  <si>
    <t>Closing Budget 22/23</t>
  </si>
  <si>
    <t>Transfers 22/23</t>
  </si>
  <si>
    <t>Transfers 23/24</t>
  </si>
  <si>
    <t>TOTAL CASH AND BANK ACCOUNT</t>
  </si>
  <si>
    <t>GENERAL EXPENDITURE</t>
  </si>
  <si>
    <t>Precept Received</t>
  </si>
  <si>
    <t>Interest Received</t>
  </si>
  <si>
    <t>Training</t>
  </si>
  <si>
    <t>Office Supplies</t>
  </si>
  <si>
    <t>Hall Hire</t>
  </si>
  <si>
    <t>Telephone</t>
  </si>
  <si>
    <t>Audit</t>
  </si>
  <si>
    <t>Subscriptions</t>
  </si>
  <si>
    <t>Equipment</t>
  </si>
  <si>
    <t>Misc Admin Expenses</t>
  </si>
  <si>
    <t>Bank Charges</t>
  </si>
  <si>
    <t>Election expenses</t>
  </si>
  <si>
    <t>GDPR Compliance</t>
  </si>
  <si>
    <t>Youth</t>
  </si>
  <si>
    <t>Christmas Lights</t>
  </si>
  <si>
    <t>Community Climate/Nature Grant</t>
  </si>
  <si>
    <t>HIGHWAYS</t>
  </si>
  <si>
    <t>Footpaths</t>
  </si>
  <si>
    <t>Grit bins &amp; winter warden</t>
  </si>
  <si>
    <t>Highway Trees</t>
  </si>
  <si>
    <t>Bus shelter</t>
  </si>
  <si>
    <t>Bridleways</t>
  </si>
  <si>
    <t>HIGHWAYS EXPENDITURE</t>
  </si>
  <si>
    <t>HGS  grant EBC</t>
  </si>
  <si>
    <t>ENVIRONMENT INCOME</t>
  </si>
  <si>
    <t>HGS Maintenance</t>
  </si>
  <si>
    <t>HGS Projects</t>
  </si>
  <si>
    <t>Hanging Baskets</t>
  </si>
  <si>
    <t>EXPENTIURE</t>
  </si>
  <si>
    <t>Movement to/from Gen Reserves</t>
  </si>
  <si>
    <t>COMMUNICATIONS</t>
  </si>
  <si>
    <t>Website</t>
  </si>
  <si>
    <t>PLANNING</t>
  </si>
  <si>
    <t>COMMUNICATIONS EXPENDITURE</t>
  </si>
  <si>
    <t>PLANNING EXPENDITURE</t>
  </si>
  <si>
    <t>GRANT TOTALS</t>
  </si>
  <si>
    <t>INCOME</t>
  </si>
  <si>
    <t>OVERALL TOTAL</t>
  </si>
  <si>
    <t>Transfer from EMR</t>
  </si>
  <si>
    <t>Bank charges</t>
  </si>
  <si>
    <t>Creditcard charges</t>
  </si>
  <si>
    <t>Staffing Contingency</t>
  </si>
  <si>
    <t>ENVIRONMENT</t>
  </si>
  <si>
    <t>Highway Garden Sites</t>
  </si>
  <si>
    <t>Highway Garden Site Projects</t>
  </si>
  <si>
    <t>Hanging Baskets and Troughs</t>
  </si>
  <si>
    <t>Year End</t>
  </si>
  <si>
    <t>Budget</t>
  </si>
  <si>
    <t>Year to Date</t>
  </si>
  <si>
    <t>Budgeted 23/24</t>
  </si>
  <si>
    <t>CIL</t>
  </si>
  <si>
    <t>VAT</t>
  </si>
  <si>
    <t>STAFFING</t>
  </si>
  <si>
    <t>Staffing General</t>
  </si>
  <si>
    <t>Locum Expenditure</t>
  </si>
  <si>
    <t>STAFFING EXPENDITURE</t>
  </si>
  <si>
    <t>GRANTS AND CIL EXPENDITURE</t>
  </si>
  <si>
    <t>GRANTS - EXPENDITURE</t>
  </si>
  <si>
    <t xml:space="preserve"> </t>
  </si>
  <si>
    <t>ELECTION EXPENSES</t>
  </si>
  <si>
    <t>ELECTION EXPENDITURE</t>
  </si>
  <si>
    <t>TOTAL GENERAL EXPENDITURE</t>
  </si>
  <si>
    <t>Scribe</t>
  </si>
  <si>
    <t>SALC &amp; NALC</t>
  </si>
  <si>
    <t>BUDGET SUMMARY</t>
  </si>
  <si>
    <t>Variance</t>
  </si>
  <si>
    <t xml:space="preserve">General Environment </t>
  </si>
  <si>
    <t>Working from home allowance</t>
  </si>
  <si>
    <t>Chairmans Allowance</t>
  </si>
  <si>
    <t>Defibrillator</t>
  </si>
  <si>
    <t>Y/E forecast 23/24</t>
  </si>
  <si>
    <t xml:space="preserve">ENVIRONMENT </t>
  </si>
  <si>
    <t>Salaries &amp; NI</t>
  </si>
  <si>
    <t>Newsletter Printing &amp; Design</t>
  </si>
  <si>
    <t>Other Publicity</t>
  </si>
  <si>
    <t>Litter Pick mornings</t>
  </si>
  <si>
    <t>Remembrance Day</t>
  </si>
  <si>
    <t>Detritus</t>
  </si>
  <si>
    <t>Office Equipment</t>
  </si>
  <si>
    <t>Office Software</t>
  </si>
  <si>
    <t>Public Liability Insurance</t>
  </si>
  <si>
    <t>TOTAL OPERATING COSTS</t>
  </si>
  <si>
    <t>Microsoft Monthly fee</t>
  </si>
  <si>
    <t>Microsoft One off Payment</t>
  </si>
  <si>
    <t>Data Protection fee</t>
  </si>
  <si>
    <t>Contract renewal</t>
  </si>
  <si>
    <t>~~~~~~~</t>
  </si>
  <si>
    <t>Contracts</t>
  </si>
  <si>
    <t>SLCC</t>
  </si>
  <si>
    <t>Equipment Insurance</t>
  </si>
  <si>
    <t>Clerk (Contractual 11/9/23)</t>
  </si>
  <si>
    <t>n/a</t>
  </si>
  <si>
    <t>Meeting Expenses</t>
  </si>
  <si>
    <t>Village Hall</t>
  </si>
  <si>
    <t>Claygate Hub</t>
  </si>
  <si>
    <t>Claygate School</t>
  </si>
  <si>
    <t>Paul Gardening</t>
  </si>
  <si>
    <t>Castle Water</t>
  </si>
  <si>
    <t>Wreath</t>
  </si>
  <si>
    <t>Marshalls</t>
  </si>
  <si>
    <t>Data centre (Domain Name)</t>
  </si>
  <si>
    <t>07/01/2026 (Accounted over 2 years)</t>
  </si>
  <si>
    <t>Christmas Tree</t>
  </si>
  <si>
    <t>Recreational Treetops</t>
  </si>
  <si>
    <t>Lloyds Credit card</t>
  </si>
  <si>
    <t>GENERAL RESERVES</t>
  </si>
  <si>
    <t>Actuals 2022/23</t>
  </si>
  <si>
    <t>Zurich Insurance</t>
  </si>
  <si>
    <t>Annual elections for 1/2 positions</t>
  </si>
  <si>
    <t>Accruing budget for 4 year elections</t>
  </si>
  <si>
    <t>Net Precept+Grant</t>
  </si>
  <si>
    <r>
      <t>B</t>
    </r>
    <r>
      <rPr>
        <sz val="11"/>
        <color theme="1"/>
        <rFont val="Calibri"/>
        <family val="2"/>
        <scheme val="minor"/>
      </rPr>
      <t>and D equiv properties</t>
    </r>
  </si>
  <si>
    <r>
      <t>B</t>
    </r>
    <r>
      <rPr>
        <sz val="11"/>
        <color theme="1"/>
        <rFont val="Calibri"/>
        <family val="2"/>
        <scheme val="minor"/>
      </rPr>
      <t>and D rate</t>
    </r>
  </si>
  <si>
    <t>EBC Grant</t>
    <phoneticPr fontId="0" type="noConversion"/>
  </si>
  <si>
    <t>Net precept</t>
  </si>
  <si>
    <t>Net Band D rate</t>
  </si>
  <si>
    <t>Difference</t>
  </si>
  <si>
    <t>Budgeted Expenditure</t>
  </si>
  <si>
    <t>Precept Income + Grants+Interest</t>
  </si>
  <si>
    <t>Proposals of £20k</t>
  </si>
  <si>
    <t>Budget 24/26</t>
  </si>
  <si>
    <t>This was an election EMR</t>
  </si>
  <si>
    <t>0% Increase</t>
  </si>
  <si>
    <t>0% increase</t>
  </si>
  <si>
    <t>5% Increase</t>
  </si>
  <si>
    <t>10% Increase</t>
  </si>
  <si>
    <t>31% Increase</t>
  </si>
  <si>
    <t>% Increase</t>
  </si>
  <si>
    <t>2024 Precept Options</t>
  </si>
  <si>
    <t>Adjustment for 3,576</t>
  </si>
  <si>
    <t>No rounding</t>
  </si>
  <si>
    <t>12% increase</t>
  </si>
  <si>
    <t>Election</t>
  </si>
  <si>
    <t>No Election</t>
  </si>
  <si>
    <t>Post 11/1/24 meeting</t>
  </si>
  <si>
    <t>Increase as advised</t>
  </si>
  <si>
    <t>Actual % Unrounded</t>
  </si>
  <si>
    <t>Rememberance G</t>
  </si>
  <si>
    <t>new bench</t>
  </si>
  <si>
    <t>Claygate Enviromentalists</t>
  </si>
  <si>
    <t>Transport and ParkingGroup</t>
  </si>
  <si>
    <t>£13k already set aside for 2027 in reserves</t>
  </si>
  <si>
    <t>Shops and Businesses Website</t>
  </si>
  <si>
    <t>Meeting room hire</t>
  </si>
  <si>
    <t>Not putting in £800 for Insurance but need a discussion on this</t>
  </si>
  <si>
    <t>SHOPS &amp; BUSINESSES EXPENDITURE</t>
  </si>
  <si>
    <t>ENRVIRONMENT EXPENDITURE</t>
  </si>
  <si>
    <t>Shops Survey Analysis Cost</t>
  </si>
  <si>
    <t>Other</t>
  </si>
  <si>
    <t>factor in 3%</t>
  </si>
  <si>
    <t>look into relief</t>
  </si>
  <si>
    <t>check costs hadleigh</t>
  </si>
  <si>
    <t>General Expense</t>
  </si>
  <si>
    <t>Public Meetings</t>
  </si>
  <si>
    <t>check cost of hall with Katie</t>
  </si>
  <si>
    <t>possible to go</t>
  </si>
  <si>
    <t>could come out</t>
  </si>
  <si>
    <t>could go</t>
  </si>
  <si>
    <t>£2k in the   chamber of commerce plus you can get the £1k business boost grant and benefit from economies of scale using same look and feel and developer as the PC</t>
  </si>
  <si>
    <t>2% increase</t>
  </si>
  <si>
    <t>Claygate Parish Council  - Budget planning for 2025/26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</si>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</sst>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809]dd\ mmmm\ yyyy;@"/>
    <numFmt numFmtId="165" formatCode="#,##0_ "/>
    <numFmt numFmtId="166" formatCode="#,##0.00_ "/>
    <numFmt numFmtId="167" formatCode="_-* #,##0.00000_-;\-* #,##0.00000_-;_-* &quot;-&quot;??_-;_-@_-"/>
    <numFmt numFmtId="168" formatCode="_-* #,##0_-;\-* #,##0_-;_-* &quot;-&quot;??_-;_-@_-"/>
    <numFmt numFmtId="169" formatCode="_-* #,##0.0000_-;\-* #,##0.0000_-;_-* &quot;-&quot;??_-;_-@_-"/>
    <numFmt numFmtId="170" formatCode="_-* #,##0.000000000_-;\-* #,##0.000000000_-;_-* &quot;-&quot;?????????_-;_-@_-"/>
    <numFmt numFmtId="171" formatCode="_-* #,##0.000000_-;\-* #,##0.000000_-;_-* &quot;-&quot;??????_-;_-@_-"/>
    <numFmt numFmtId="172" formatCode="#,##0.0000000;\-#,##0.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4" fillId="3" borderId="0" applyNumberFormat="0" applyBorder="0" applyAlignment="0" applyProtection="0"/>
  </cellStyleXfs>
  <cellXfs count="100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1" xfId="1" applyFont="1" applyBorder="1"/>
    <xf numFmtId="0" fontId="0" fillId="0" borderId="0" xfId="0" applyAlignment="1">
      <alignment horizontal="right"/>
    </xf>
    <xf numFmtId="43" fontId="0" fillId="0" borderId="0" xfId="0" applyNumberFormat="1"/>
    <xf numFmtId="43" fontId="0" fillId="0" borderId="2" xfId="1" applyFont="1" applyBorder="1"/>
    <xf numFmtId="43" fontId="0" fillId="0" borderId="3" xfId="1" applyFont="1" applyBorder="1"/>
    <xf numFmtId="0" fontId="0" fillId="0" borderId="3" xfId="0" applyBorder="1"/>
    <xf numFmtId="0" fontId="2" fillId="0" borderId="0" xfId="0" applyFont="1" applyAlignment="1">
      <alignment horizontal="right"/>
    </xf>
    <xf numFmtId="43" fontId="0" fillId="0" borderId="0" xfId="1" applyFont="1" applyAlignment="1"/>
    <xf numFmtId="43" fontId="0" fillId="0" borderId="0" xfId="1" applyFont="1" applyBorder="1"/>
    <xf numFmtId="43" fontId="4" fillId="0" borderId="0" xfId="1" applyFont="1"/>
    <xf numFmtId="43" fontId="0" fillId="0" borderId="4" xfId="1" applyFont="1" applyBorder="1"/>
    <xf numFmtId="43" fontId="2" fillId="0" borderId="0" xfId="1" applyFont="1" applyAlignment="1"/>
    <xf numFmtId="43" fontId="2" fillId="0" borderId="0" xfId="1" applyFont="1"/>
    <xf numFmtId="43" fontId="0" fillId="0" borderId="0" xfId="1" applyFont="1" applyAlignment="1">
      <alignment horizontal="right"/>
    </xf>
    <xf numFmtId="43" fontId="5" fillId="0" borderId="0" xfId="1" applyFont="1"/>
    <xf numFmtId="43" fontId="2" fillId="0" borderId="0" xfId="1" applyFont="1" applyBorder="1"/>
    <xf numFmtId="43" fontId="4" fillId="0" borderId="3" xfId="1" applyFont="1" applyBorder="1"/>
    <xf numFmtId="0" fontId="4" fillId="0" borderId="0" xfId="0" applyFont="1"/>
    <xf numFmtId="43" fontId="0" fillId="0" borderId="0" xfId="1" applyFont="1" applyFill="1" applyBorder="1"/>
    <xf numFmtId="43" fontId="2" fillId="0" borderId="0" xfId="1" applyFont="1" applyAlignment="1">
      <alignment horizontal="center"/>
    </xf>
    <xf numFmtId="43" fontId="0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0" fontId="0" fillId="0" borderId="0" xfId="0" applyAlignment="1">
      <alignment horizontal="center"/>
    </xf>
    <xf numFmtId="43" fontId="4" fillId="0" borderId="0" xfId="1" applyFont="1" applyBorder="1"/>
    <xf numFmtId="43" fontId="0" fillId="0" borderId="0" xfId="1" applyFont="1" applyAlignment="1">
      <alignment vertical="top"/>
    </xf>
    <xf numFmtId="17" fontId="4" fillId="0" borderId="0" xfId="0" applyNumberFormat="1" applyFont="1"/>
    <xf numFmtId="0" fontId="4" fillId="0" borderId="0" xfId="0" applyFont="1" applyAlignment="1">
      <alignment vertical="top"/>
    </xf>
    <xf numFmtId="14" fontId="4" fillId="0" borderId="0" xfId="1" applyNumberFormat="1" applyFont="1"/>
    <xf numFmtId="164" fontId="4" fillId="0" borderId="3" xfId="1" applyNumberFormat="1" applyFont="1" applyBorder="1"/>
    <xf numFmtId="43" fontId="5" fillId="0" borderId="0" xfId="1" applyFont="1" applyBorder="1"/>
    <xf numFmtId="43" fontId="4" fillId="0" borderId="0" xfId="1" applyFont="1" applyBorder="1" applyAlignment="1">
      <alignment horizontal="right"/>
    </xf>
    <xf numFmtId="43" fontId="4" fillId="0" borderId="0" xfId="1" applyFont="1" applyAlignment="1">
      <alignment horizontal="right"/>
    </xf>
    <xf numFmtId="43" fontId="4" fillId="0" borderId="0" xfId="1" applyFont="1" applyAlignment="1"/>
    <xf numFmtId="43" fontId="7" fillId="0" borderId="0" xfId="1" applyFont="1" applyBorder="1"/>
    <xf numFmtId="43" fontId="8" fillId="0" borderId="0" xfId="1" applyFont="1" applyBorder="1"/>
    <xf numFmtId="43" fontId="8" fillId="0" borderId="3" xfId="1" applyFont="1" applyBorder="1"/>
    <xf numFmtId="43" fontId="7" fillId="0" borderId="0" xfId="1" applyFont="1" applyAlignment="1"/>
    <xf numFmtId="43" fontId="8" fillId="0" borderId="0" xfId="1" applyFont="1" applyAlignment="1"/>
    <xf numFmtId="43" fontId="7" fillId="0" borderId="3" xfId="1" applyFont="1" applyBorder="1" applyAlignment="1"/>
    <xf numFmtId="43" fontId="7" fillId="0" borderId="4" xfId="1" applyFont="1" applyBorder="1" applyAlignment="1"/>
    <xf numFmtId="43" fontId="7" fillId="0" borderId="0" xfId="1" applyFont="1" applyBorder="1" applyAlignment="1"/>
    <xf numFmtId="43" fontId="7" fillId="0" borderId="0" xfId="1" applyFont="1"/>
    <xf numFmtId="43" fontId="8" fillId="0" borderId="0" xfId="1" applyFont="1"/>
    <xf numFmtId="4" fontId="9" fillId="0" borderId="0" xfId="0" applyNumberFormat="1" applyFont="1"/>
    <xf numFmtId="0" fontId="11" fillId="2" borderId="5" xfId="2" applyFont="1" applyFill="1" applyBorder="1"/>
    <xf numFmtId="0" fontId="0" fillId="2" borderId="5" xfId="2" applyFont="1" applyFill="1" applyBorder="1"/>
    <xf numFmtId="165" fontId="11" fillId="2" borderId="5" xfId="2" applyNumberFormat="1" applyFont="1" applyFill="1" applyBorder="1" applyAlignment="1">
      <alignment horizontal="center"/>
    </xf>
    <xf numFmtId="165" fontId="13" fillId="2" borderId="5" xfId="2" applyNumberFormat="1" applyFont="1" applyFill="1" applyBorder="1" applyAlignment="1">
      <alignment horizontal="center"/>
    </xf>
    <xf numFmtId="166" fontId="13" fillId="2" borderId="5" xfId="2" applyNumberFormat="1" applyFont="1" applyFill="1" applyBorder="1" applyAlignment="1">
      <alignment horizontal="center"/>
    </xf>
    <xf numFmtId="2" fontId="13" fillId="0" borderId="5" xfId="0" applyNumberFormat="1" applyFont="1" applyBorder="1" applyAlignment="1">
      <alignment horizontal="center"/>
    </xf>
    <xf numFmtId="165" fontId="12" fillId="2" borderId="5" xfId="2" applyNumberFormat="1" applyFont="1" applyFill="1" applyBorder="1" applyAlignment="1">
      <alignment horizontal="center"/>
    </xf>
    <xf numFmtId="166" fontId="12" fillId="2" borderId="5" xfId="2" applyNumberFormat="1" applyFont="1" applyFill="1" applyBorder="1" applyAlignment="1">
      <alignment horizontal="center"/>
    </xf>
    <xf numFmtId="43" fontId="4" fillId="0" borderId="0" xfId="0" applyNumberFormat="1" applyFont="1"/>
    <xf numFmtId="9" fontId="0" fillId="0" borderId="0" xfId="1" applyNumberFormat="1" applyFont="1" applyAlignment="1">
      <alignment horizontal="center"/>
    </xf>
    <xf numFmtId="43" fontId="1" fillId="0" borderId="0" xfId="1" applyFont="1"/>
    <xf numFmtId="2" fontId="4" fillId="0" borderId="0" xfId="0" applyNumberFormat="1" applyFont="1"/>
    <xf numFmtId="43" fontId="6" fillId="0" borderId="0" xfId="1" applyFont="1" applyBorder="1" applyAlignment="1">
      <alignment horizontal="right"/>
    </xf>
    <xf numFmtId="43" fontId="6" fillId="0" borderId="3" xfId="1" applyFont="1" applyBorder="1"/>
    <xf numFmtId="167" fontId="6" fillId="0" borderId="0" xfId="1" applyNumberFormat="1" applyFont="1" applyBorder="1" applyAlignment="1">
      <alignment horizontal="right"/>
    </xf>
    <xf numFmtId="43" fontId="6" fillId="0" borderId="0" xfId="1" applyFont="1"/>
    <xf numFmtId="43" fontId="14" fillId="0" borderId="0" xfId="3" applyNumberFormat="1" applyFill="1" applyBorder="1"/>
    <xf numFmtId="43" fontId="14" fillId="0" borderId="3" xfId="3" applyNumberFormat="1" applyFill="1" applyBorder="1"/>
    <xf numFmtId="43" fontId="0" fillId="0" borderId="0" xfId="1" applyFont="1" applyFill="1"/>
    <xf numFmtId="43" fontId="0" fillId="0" borderId="3" xfId="1" applyFont="1" applyFill="1" applyBorder="1"/>
    <xf numFmtId="0" fontId="0" fillId="0" borderId="5" xfId="0" applyBorder="1"/>
    <xf numFmtId="43" fontId="0" fillId="0" borderId="5" xfId="1" applyFont="1" applyBorder="1"/>
    <xf numFmtId="0" fontId="4" fillId="0" borderId="5" xfId="0" applyFont="1" applyBorder="1"/>
    <xf numFmtId="3" fontId="0" fillId="0" borderId="5" xfId="0" applyNumberFormat="1" applyBorder="1"/>
    <xf numFmtId="43" fontId="1" fillId="0" borderId="5" xfId="1" applyFont="1" applyBorder="1"/>
    <xf numFmtId="43" fontId="4" fillId="0" borderId="5" xfId="1" applyFont="1" applyBorder="1"/>
    <xf numFmtId="43" fontId="6" fillId="0" borderId="0" xfId="1" applyFont="1" applyFill="1"/>
    <xf numFmtId="0" fontId="15" fillId="0" borderId="0" xfId="0" applyFont="1"/>
    <xf numFmtId="165" fontId="16" fillId="2" borderId="5" xfId="2" applyNumberFormat="1" applyFont="1" applyFill="1" applyBorder="1" applyAlignment="1">
      <alignment horizontal="center"/>
    </xf>
    <xf numFmtId="165" fontId="17" fillId="2" borderId="5" xfId="2" applyNumberFormat="1" applyFont="1" applyFill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166" fontId="16" fillId="2" borderId="5" xfId="2" applyNumberFormat="1" applyFont="1" applyFill="1" applyBorder="1" applyAlignment="1">
      <alignment horizontal="center"/>
    </xf>
    <xf numFmtId="168" fontId="0" fillId="0" borderId="5" xfId="1" applyNumberFormat="1" applyFont="1" applyBorder="1"/>
    <xf numFmtId="169" fontId="0" fillId="0" borderId="5" xfId="1" applyNumberFormat="1" applyFont="1" applyBorder="1"/>
    <xf numFmtId="168" fontId="1" fillId="0" borderId="5" xfId="1" applyNumberFormat="1" applyFont="1" applyBorder="1"/>
    <xf numFmtId="168" fontId="8" fillId="0" borderId="0" xfId="1" applyNumberFormat="1" applyFont="1"/>
    <xf numFmtId="168" fontId="14" fillId="0" borderId="0" xfId="3" applyNumberFormat="1" applyFill="1"/>
    <xf numFmtId="168" fontId="8" fillId="0" borderId="3" xfId="1" applyNumberFormat="1" applyFont="1" applyBorder="1"/>
    <xf numFmtId="168" fontId="8" fillId="0" borderId="3" xfId="1" applyNumberFormat="1" applyFont="1" applyFill="1" applyBorder="1"/>
    <xf numFmtId="43" fontId="1" fillId="0" borderId="3" xfId="1" applyFont="1" applyBorder="1"/>
    <xf numFmtId="43" fontId="1" fillId="0" borderId="0" xfId="1" applyFont="1" applyFill="1"/>
    <xf numFmtId="43" fontId="1" fillId="0" borderId="0" xfId="1" applyFont="1" applyAlignment="1"/>
    <xf numFmtId="43" fontId="6" fillId="0" borderId="0" xfId="1" applyFont="1" applyBorder="1"/>
    <xf numFmtId="43" fontId="1" fillId="0" borderId="0" xfId="1" applyFont="1" applyBorder="1"/>
    <xf numFmtId="0" fontId="0" fillId="0" borderId="0" xfId="0" applyAlignment="1">
      <alignment wrapText="1"/>
    </xf>
    <xf numFmtId="0" fontId="2" fillId="0" borderId="5" xfId="0" applyFont="1" applyBorder="1"/>
    <xf numFmtId="170" fontId="0" fillId="0" borderId="5" xfId="1" applyNumberFormat="1" applyFont="1" applyBorder="1"/>
    <xf numFmtId="171" fontId="4" fillId="0" borderId="5" xfId="1" applyNumberFormat="1" applyFont="1" applyBorder="1"/>
    <xf numFmtId="43" fontId="6" fillId="0" borderId="5" xfId="1" applyFont="1" applyBorder="1"/>
    <xf numFmtId="43" fontId="14" fillId="0" borderId="4" xfId="3" applyNumberFormat="1" applyFill="1" applyBorder="1"/>
    <xf numFmtId="43" fontId="18" fillId="0" borderId="3" xfId="1" applyFont="1" applyBorder="1"/>
    <xf numFmtId="172" fontId="1" fillId="0" borderId="5" xfId="1" applyNumberFormat="1" applyFont="1" applyBorder="1"/>
    <xf numFmtId="43" fontId="4" fillId="0" borderId="0" xfId="1" applyFont="1" applyFill="1"/>
  </cellXfs>
  <cellStyles count="4">
    <cellStyle name="Bad" xfId="3" builtinId="27"/>
    <cellStyle name="Comma" xfId="1" builtinId="3"/>
    <cellStyle name="Excel Built-in Normal 1" xfId="2" xr:uid="{86511141-EE0C-49B4-BB95-2ABC8425F59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D3BB6-0C71-4E60-A087-29E144529EE4}">
  <dimension ref="A1:U186"/>
  <sheetViews>
    <sheetView tabSelected="1" zoomScaleNormal="100" workbookViewId="0">
      <pane xSplit="2" ySplit="3" topLeftCell="C119" activePane="bottomRight" state="frozen"/>
      <selection pane="topRight" activeCell="C1" sqref="C1"/>
      <selection pane="bottomLeft" activeCell="A4" sqref="A4"/>
      <selection pane="bottomRight" activeCell="O108" sqref="O108"/>
    </sheetView>
  </sheetViews>
  <sheetFormatPr defaultRowHeight="14.5" x14ac:dyDescent="0.35"/>
  <cols>
    <col min="1" max="1" width="14.81640625" customWidth="1"/>
    <col min="2" max="2" width="18.1796875" customWidth="1"/>
    <col min="3" max="3" width="17.453125" hidden="1" customWidth="1"/>
    <col min="4" max="4" width="14.6328125" style="2" hidden="1" customWidth="1"/>
    <col min="5" max="5" width="14.453125" style="2" hidden="1" customWidth="1"/>
    <col min="6" max="6" width="17.36328125" style="2" hidden="1" customWidth="1"/>
    <col min="7" max="7" width="13.54296875" style="2" hidden="1" customWidth="1"/>
    <col min="8" max="9" width="10.90625" style="12" hidden="1" customWidth="1"/>
    <col min="10" max="13" width="14.81640625" style="12" hidden="1" customWidth="1"/>
    <col min="14" max="14" width="14.81640625" style="12" customWidth="1"/>
    <col min="15" max="15" width="17.1796875" customWidth="1"/>
    <col min="16" max="16" width="0" hidden="1" customWidth="1"/>
    <col min="19" max="19" width="10.08984375" bestFit="1" customWidth="1"/>
  </cols>
  <sheetData>
    <row r="1" spans="1:16" x14ac:dyDescent="0.35">
      <c r="A1" s="1" t="s">
        <v>261</v>
      </c>
      <c r="D1" s="14"/>
      <c r="E1" s="10"/>
      <c r="F1" s="10"/>
      <c r="G1" s="10"/>
      <c r="H1" s="35"/>
      <c r="I1" s="35"/>
      <c r="J1" s="35"/>
      <c r="K1" s="35"/>
      <c r="L1" s="35" t="s">
        <v>235</v>
      </c>
      <c r="M1" s="35"/>
      <c r="N1" s="35"/>
    </row>
    <row r="2" spans="1:16" x14ac:dyDescent="0.35">
      <c r="A2" s="10"/>
      <c r="B2" s="10"/>
      <c r="C2" s="10"/>
      <c r="D2" s="10"/>
      <c r="E2" s="10"/>
      <c r="F2" s="10"/>
      <c r="G2" s="10"/>
      <c r="H2" s="35"/>
      <c r="I2" s="35"/>
      <c r="J2" s="35"/>
      <c r="K2" s="35"/>
      <c r="L2" s="88" t="s">
        <v>233</v>
      </c>
      <c r="M2" s="88" t="s">
        <v>234</v>
      </c>
      <c r="N2" s="91" t="s">
        <v>262</v>
      </c>
      <c r="O2" s="91" t="s">
        <v>263</v>
      </c>
    </row>
    <row r="3" spans="1:16" s="25" customFormat="1" x14ac:dyDescent="0.35">
      <c r="A3" s="22" t="s">
        <v>165</v>
      </c>
      <c r="B3" s="23" t="s">
        <v>188</v>
      </c>
      <c r="C3" s="24" t="s">
        <v>186</v>
      </c>
      <c r="D3" s="22" t="s">
        <v>207</v>
      </c>
      <c r="E3" s="23" t="s">
        <v>150</v>
      </c>
      <c r="F3" s="23" t="s">
        <v>171</v>
      </c>
      <c r="G3" s="56">
        <v>0.31</v>
      </c>
      <c r="H3" s="23" t="s">
        <v>221</v>
      </c>
      <c r="I3" s="56">
        <v>0</v>
      </c>
      <c r="J3" s="56">
        <v>0.05</v>
      </c>
      <c r="K3" s="56">
        <v>0.1</v>
      </c>
      <c r="L3" s="56">
        <v>0.12</v>
      </c>
      <c r="M3" s="56">
        <v>0.12</v>
      </c>
      <c r="N3" s="56"/>
      <c r="O3" s="56"/>
    </row>
    <row r="4" spans="1:16" hidden="1" x14ac:dyDescent="0.3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6" hidden="1" x14ac:dyDescent="0.35">
      <c r="A5" s="39" t="s">
        <v>48</v>
      </c>
      <c r="B5" s="40"/>
      <c r="C5" s="40"/>
      <c r="D5" s="39"/>
      <c r="E5" s="39">
        <v>53488</v>
      </c>
      <c r="F5" s="39">
        <v>127482.22</v>
      </c>
      <c r="G5" s="39">
        <v>0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/>
      <c r="O5" s="39"/>
    </row>
    <row r="6" spans="1:16" ht="15" hidden="1" thickBot="1" x14ac:dyDescent="0.4">
      <c r="A6" s="41" t="s">
        <v>56</v>
      </c>
      <c r="B6" s="41"/>
      <c r="C6" s="41"/>
      <c r="D6" s="41"/>
      <c r="E6" s="41">
        <v>61338</v>
      </c>
      <c r="F6" s="41">
        <v>56300.81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3"/>
      <c r="O6" s="43"/>
    </row>
    <row r="7" spans="1:16" ht="15.5" hidden="1" thickTop="1" thickBot="1" x14ac:dyDescent="0.4">
      <c r="A7" s="41" t="s">
        <v>166</v>
      </c>
      <c r="B7" s="42"/>
      <c r="C7" s="41"/>
      <c r="D7" s="41"/>
      <c r="E7" s="41">
        <v>-7850</v>
      </c>
      <c r="F7" s="41">
        <v>71181.41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3"/>
      <c r="O7" s="43"/>
    </row>
    <row r="8" spans="1:16" hidden="1" x14ac:dyDescent="0.35">
      <c r="A8" s="43"/>
      <c r="B8" s="43"/>
      <c r="C8" s="43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x14ac:dyDescent="0.35">
      <c r="A9" s="39" t="s">
        <v>137</v>
      </c>
      <c r="B9" s="40"/>
      <c r="C9" s="40"/>
      <c r="D9" s="44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6" x14ac:dyDescent="0.35">
      <c r="A10" s="45" t="s">
        <v>101</v>
      </c>
      <c r="B10" s="45"/>
      <c r="C10" s="45"/>
      <c r="D10" s="82">
        <f>SUM(D133)</f>
        <v>49073</v>
      </c>
      <c r="E10" s="82">
        <v>50374</v>
      </c>
      <c r="F10" s="82">
        <v>50374</v>
      </c>
      <c r="G10" s="82">
        <f>SUM(G133)</f>
        <v>66192.832800000004</v>
      </c>
      <c r="H10" s="82">
        <f>SUM(H133)</f>
        <v>86712.610968000008</v>
      </c>
      <c r="I10" s="82">
        <f>SUM(I133)</f>
        <v>50528.880000000005</v>
      </c>
      <c r="J10" s="82">
        <f>SUM(J133)</f>
        <v>53055.324000000008</v>
      </c>
      <c r="K10" s="82">
        <f>SUM(K133)</f>
        <v>55581.768000000011</v>
      </c>
      <c r="L10" s="82">
        <f>SUM(E147)</f>
        <v>56592.345600000008</v>
      </c>
      <c r="M10" s="82">
        <f>SUM(E147)</f>
        <v>56592.345600000008</v>
      </c>
      <c r="N10" s="82">
        <v>56672</v>
      </c>
      <c r="O10" s="82">
        <v>58105</v>
      </c>
    </row>
    <row r="11" spans="1:16" x14ac:dyDescent="0.35">
      <c r="A11" s="45" t="s">
        <v>41</v>
      </c>
      <c r="B11" s="45"/>
      <c r="C11" s="45"/>
      <c r="D11" s="82">
        <v>2760</v>
      </c>
      <c r="E11" s="82">
        <v>2800</v>
      </c>
      <c r="F11" s="82">
        <v>3000</v>
      </c>
      <c r="G11" s="82">
        <v>3000</v>
      </c>
      <c r="H11" s="82">
        <v>3000</v>
      </c>
      <c r="I11" s="82">
        <v>3000</v>
      </c>
      <c r="J11" s="82">
        <v>3000</v>
      </c>
      <c r="K11" s="82">
        <v>3000</v>
      </c>
      <c r="L11" s="82">
        <v>3000</v>
      </c>
      <c r="M11" s="82">
        <v>3000</v>
      </c>
      <c r="N11" s="82">
        <v>3000</v>
      </c>
      <c r="O11" s="82">
        <v>3200</v>
      </c>
    </row>
    <row r="12" spans="1:16" x14ac:dyDescent="0.35">
      <c r="A12" s="45" t="s">
        <v>238</v>
      </c>
      <c r="B12" s="45"/>
      <c r="C12" s="45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>
        <v>700</v>
      </c>
      <c r="O12" s="82">
        <v>0</v>
      </c>
      <c r="P12" t="s">
        <v>159</v>
      </c>
    </row>
    <row r="13" spans="1:16" x14ac:dyDescent="0.35">
      <c r="A13" s="45" t="s">
        <v>102</v>
      </c>
      <c r="B13" s="45"/>
      <c r="C13" s="45"/>
      <c r="D13" s="82">
        <v>325</v>
      </c>
      <c r="E13" s="82">
        <v>314</v>
      </c>
      <c r="F13" s="83">
        <v>0</v>
      </c>
      <c r="G13" s="82">
        <v>320</v>
      </c>
      <c r="H13" s="82">
        <v>320</v>
      </c>
      <c r="I13" s="82">
        <v>320</v>
      </c>
      <c r="J13" s="82">
        <v>320</v>
      </c>
      <c r="K13" s="82">
        <v>320</v>
      </c>
      <c r="L13" s="82">
        <v>320</v>
      </c>
      <c r="M13" s="82">
        <v>320</v>
      </c>
      <c r="N13" s="82">
        <v>320</v>
      </c>
      <c r="O13" s="82">
        <v>800</v>
      </c>
    </row>
    <row r="14" spans="1:16" x14ac:dyDescent="0.35">
      <c r="A14" s="45" t="s">
        <v>151</v>
      </c>
      <c r="B14" s="45"/>
      <c r="C14" s="45"/>
      <c r="D14" s="82"/>
      <c r="E14" s="82"/>
      <c r="F14" s="82">
        <v>74108.22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v>0</v>
      </c>
    </row>
    <row r="15" spans="1:16" ht="15" thickBot="1" x14ac:dyDescent="0.4">
      <c r="A15" s="38" t="s">
        <v>152</v>
      </c>
      <c r="B15" s="38"/>
      <c r="C15" s="38"/>
      <c r="D15" s="84"/>
      <c r="E15" s="84"/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0</v>
      </c>
      <c r="N15" s="84">
        <v>0</v>
      </c>
      <c r="O15" s="84">
        <v>0</v>
      </c>
    </row>
    <row r="16" spans="1:16" ht="15.5" thickTop="1" thickBot="1" x14ac:dyDescent="0.4">
      <c r="A16" s="38" t="s">
        <v>48</v>
      </c>
      <c r="B16" s="38"/>
      <c r="C16" s="38"/>
      <c r="D16" s="85">
        <f>SUM(D10:D15)</f>
        <v>52158</v>
      </c>
      <c r="E16" s="84">
        <v>53488</v>
      </c>
      <c r="F16" s="84">
        <f>SUM(F10:F15)</f>
        <v>127482.22</v>
      </c>
      <c r="G16" s="84">
        <f t="shared" ref="G16:K16" si="0">SUM(G10:G15)</f>
        <v>69512.832800000004</v>
      </c>
      <c r="H16" s="84">
        <f t="shared" si="0"/>
        <v>90032.610968000008</v>
      </c>
      <c r="I16" s="84">
        <f t="shared" si="0"/>
        <v>53848.880000000005</v>
      </c>
      <c r="J16" s="84">
        <f t="shared" si="0"/>
        <v>56375.324000000008</v>
      </c>
      <c r="K16" s="84">
        <f t="shared" si="0"/>
        <v>58901.768000000011</v>
      </c>
      <c r="L16" s="84">
        <f t="shared" ref="L16:N16" si="1">SUM(L10:L15)</f>
        <v>59912.345600000008</v>
      </c>
      <c r="M16" s="84">
        <f t="shared" si="1"/>
        <v>59912.345600000008</v>
      </c>
      <c r="N16" s="84">
        <f t="shared" si="1"/>
        <v>60692</v>
      </c>
      <c r="O16" s="84">
        <f t="shared" ref="O16" si="2">SUM(O10:O15)</f>
        <v>62105</v>
      </c>
    </row>
    <row r="17" spans="1:16" ht="15" thickTop="1" x14ac:dyDescent="0.35">
      <c r="A17" s="11"/>
      <c r="B17" s="11"/>
      <c r="C17" s="11"/>
      <c r="H17" s="2"/>
      <c r="I17" s="2"/>
      <c r="J17" s="2"/>
      <c r="K17" s="2"/>
      <c r="L17" s="2"/>
      <c r="M17" s="2"/>
      <c r="N17" s="2"/>
      <c r="O17" s="2"/>
    </row>
    <row r="18" spans="1:16" x14ac:dyDescent="0.35">
      <c r="A18" s="15" t="s">
        <v>153</v>
      </c>
      <c r="B18" s="2"/>
      <c r="C18" s="2"/>
      <c r="D18" s="15"/>
      <c r="H18" s="2"/>
      <c r="I18" s="2"/>
      <c r="J18" s="2"/>
      <c r="K18" s="2"/>
      <c r="L18" s="2"/>
      <c r="M18" s="2"/>
      <c r="N18" s="2"/>
      <c r="O18" s="2"/>
    </row>
    <row r="19" spans="1:16" x14ac:dyDescent="0.35">
      <c r="A19" s="2" t="s">
        <v>173</v>
      </c>
      <c r="B19" s="2"/>
      <c r="C19" s="2"/>
      <c r="D19" s="2">
        <v>16147</v>
      </c>
      <c r="E19" s="2">
        <v>16862</v>
      </c>
      <c r="F19" s="2">
        <v>14354.130000000001</v>
      </c>
      <c r="G19" s="2">
        <v>16302</v>
      </c>
      <c r="H19" s="2">
        <v>16302</v>
      </c>
      <c r="I19" s="2">
        <v>16302</v>
      </c>
      <c r="J19" s="2">
        <v>16302</v>
      </c>
      <c r="K19" s="2">
        <v>16302</v>
      </c>
      <c r="L19" s="2">
        <v>16302</v>
      </c>
      <c r="M19" s="2">
        <v>16302</v>
      </c>
      <c r="N19" s="2">
        <v>16302</v>
      </c>
      <c r="O19" s="2">
        <f>(21946.92+765.48)*1.03</f>
        <v>23393.771999999997</v>
      </c>
      <c r="P19" t="s">
        <v>250</v>
      </c>
    </row>
    <row r="20" spans="1:16" x14ac:dyDescent="0.35">
      <c r="A20" s="2" t="s">
        <v>23</v>
      </c>
      <c r="B20" s="2"/>
      <c r="C20" s="2"/>
      <c r="D20" s="2">
        <v>650</v>
      </c>
      <c r="E20" s="2">
        <v>670</v>
      </c>
      <c r="F20" s="2">
        <v>524.72</v>
      </c>
      <c r="G20" s="2">
        <v>489.06</v>
      </c>
      <c r="H20" s="2">
        <v>489.06</v>
      </c>
      <c r="I20" s="2">
        <v>489.06</v>
      </c>
      <c r="J20" s="2">
        <v>489.06</v>
      </c>
      <c r="K20" s="2">
        <v>489.06</v>
      </c>
      <c r="L20" s="2">
        <f>SUM(L19)*0.04</f>
        <v>652.08000000000004</v>
      </c>
      <c r="M20" s="2">
        <f>SUM(M19)*0.04</f>
        <v>652.08000000000004</v>
      </c>
      <c r="N20" s="2">
        <f>SUM(N19)*0.04</f>
        <v>652.08000000000004</v>
      </c>
      <c r="O20" s="2">
        <f>SUM(O19)*0.04</f>
        <v>935.75087999999994</v>
      </c>
      <c r="P20" t="s">
        <v>251</v>
      </c>
    </row>
    <row r="21" spans="1:16" x14ac:dyDescent="0.35">
      <c r="A21" s="2" t="s">
        <v>154</v>
      </c>
      <c r="B21" s="2"/>
      <c r="C21" s="2"/>
      <c r="E21" s="2">
        <v>2000</v>
      </c>
      <c r="F21" s="2">
        <v>300</v>
      </c>
      <c r="G21" s="2">
        <v>0</v>
      </c>
      <c r="H21" s="2">
        <v>2000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62">
        <v>0</v>
      </c>
    </row>
    <row r="22" spans="1:16" ht="15" thickBot="1" x14ac:dyDescent="0.4">
      <c r="A22" s="7" t="s">
        <v>155</v>
      </c>
      <c r="B22" s="7"/>
      <c r="C22" s="7"/>
      <c r="D22" s="7"/>
      <c r="E22" s="7"/>
      <c r="F22" s="7">
        <v>12119.98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6" ht="15.5" thickTop="1" thickBot="1" x14ac:dyDescent="0.4">
      <c r="A23" s="7" t="s">
        <v>156</v>
      </c>
      <c r="B23" s="7"/>
      <c r="C23" s="7"/>
      <c r="D23" s="7">
        <v>16797</v>
      </c>
      <c r="E23" s="7">
        <v>19532</v>
      </c>
      <c r="F23" s="7">
        <f>SUM(F19:F22)</f>
        <v>27298.83</v>
      </c>
      <c r="G23" s="13">
        <f>SUM(G19:G22)</f>
        <v>16791.060000000001</v>
      </c>
      <c r="H23" s="13">
        <f t="shared" ref="H23:K23" si="3">SUM(H19:H22)</f>
        <v>18791.060000000001</v>
      </c>
      <c r="I23" s="13">
        <f t="shared" si="3"/>
        <v>16791.060000000001</v>
      </c>
      <c r="J23" s="13">
        <f t="shared" si="3"/>
        <v>16791.060000000001</v>
      </c>
      <c r="K23" s="13">
        <f t="shared" si="3"/>
        <v>16791.060000000001</v>
      </c>
      <c r="L23" s="13">
        <f t="shared" ref="L23:M23" si="4">SUM(L19:L22)</f>
        <v>16954.080000000002</v>
      </c>
      <c r="M23" s="13">
        <f t="shared" si="4"/>
        <v>16954.080000000002</v>
      </c>
      <c r="N23" s="13">
        <f t="shared" ref="N23" si="5">SUM(N19:N22)</f>
        <v>16954.080000000002</v>
      </c>
      <c r="O23" s="13">
        <f t="shared" ref="O23" si="6">SUM(O19:O22)</f>
        <v>24329.522879999997</v>
      </c>
      <c r="P23" t="s">
        <v>220</v>
      </c>
    </row>
    <row r="24" spans="1:16" ht="15" thickTop="1" x14ac:dyDescent="0.35">
      <c r="A24" s="11"/>
      <c r="B24" s="11"/>
      <c r="C24" s="11"/>
      <c r="H24" s="2"/>
      <c r="I24" s="2"/>
      <c r="J24" s="2"/>
      <c r="K24" s="2"/>
      <c r="L24" s="2"/>
      <c r="M24" s="2"/>
      <c r="N24" s="2"/>
      <c r="O24" s="2"/>
    </row>
    <row r="25" spans="1:16" x14ac:dyDescent="0.35">
      <c r="A25" s="15" t="s">
        <v>117</v>
      </c>
      <c r="B25" s="2"/>
      <c r="C25" s="2"/>
      <c r="D25" s="15"/>
      <c r="H25" s="2"/>
      <c r="I25" s="2"/>
      <c r="J25" s="2"/>
      <c r="K25" s="2"/>
      <c r="L25" s="2"/>
      <c r="M25" s="2"/>
      <c r="N25" s="2"/>
      <c r="O25" s="2"/>
    </row>
    <row r="26" spans="1:16" x14ac:dyDescent="0.35">
      <c r="A26" s="2" t="s">
        <v>120</v>
      </c>
      <c r="B26" s="2"/>
      <c r="C26" s="2"/>
      <c r="D26" s="2">
        <v>289</v>
      </c>
      <c r="E26" s="2">
        <v>500</v>
      </c>
      <c r="F26" s="2">
        <v>0</v>
      </c>
      <c r="G26" s="2">
        <v>500</v>
      </c>
      <c r="H26" s="2">
        <v>500</v>
      </c>
      <c r="I26" s="2">
        <v>500</v>
      </c>
      <c r="J26" s="2">
        <v>500</v>
      </c>
      <c r="K26" s="2">
        <v>500</v>
      </c>
      <c r="L26" s="62">
        <v>250</v>
      </c>
      <c r="M26" s="2">
        <v>250</v>
      </c>
      <c r="N26" s="2">
        <v>250</v>
      </c>
      <c r="O26" s="2">
        <f>250*1.03</f>
        <v>257.5</v>
      </c>
    </row>
    <row r="27" spans="1:16" x14ac:dyDescent="0.35">
      <c r="A27" s="2" t="s">
        <v>121</v>
      </c>
      <c r="B27" s="2"/>
      <c r="C27" s="2"/>
      <c r="D27" s="2">
        <v>250</v>
      </c>
      <c r="E27" s="2">
        <v>250</v>
      </c>
      <c r="F27" s="2">
        <v>0</v>
      </c>
      <c r="G27" s="2">
        <v>250</v>
      </c>
      <c r="H27" s="2">
        <v>250</v>
      </c>
      <c r="I27" s="2">
        <v>250</v>
      </c>
      <c r="J27" s="2">
        <v>250</v>
      </c>
      <c r="K27" s="2">
        <v>250</v>
      </c>
      <c r="L27" s="62">
        <v>100</v>
      </c>
      <c r="M27" s="2">
        <v>100</v>
      </c>
      <c r="N27" s="2">
        <v>100</v>
      </c>
      <c r="O27" s="2">
        <f>100*1.03</f>
        <v>103</v>
      </c>
    </row>
    <row r="28" spans="1:16" x14ac:dyDescent="0.35">
      <c r="A28" s="2" t="s">
        <v>119</v>
      </c>
      <c r="B28" s="2"/>
      <c r="C28" s="2"/>
      <c r="H28" s="2"/>
      <c r="I28" s="2"/>
      <c r="J28" s="2"/>
      <c r="K28" s="2"/>
      <c r="L28" s="62"/>
      <c r="M28" s="2"/>
      <c r="N28" s="2"/>
      <c r="O28" s="2">
        <v>750</v>
      </c>
      <c r="P28" t="s">
        <v>252</v>
      </c>
    </row>
    <row r="29" spans="1:16" ht="15" thickBot="1" x14ac:dyDescent="0.4">
      <c r="A29" s="7" t="s">
        <v>122</v>
      </c>
      <c r="B29" s="7"/>
      <c r="C29" s="7"/>
      <c r="D29" s="7">
        <v>1000</v>
      </c>
      <c r="E29" s="7">
        <v>1000</v>
      </c>
      <c r="F29" s="7">
        <v>0</v>
      </c>
      <c r="G29" s="7">
        <v>1000</v>
      </c>
      <c r="H29" s="7">
        <v>1000</v>
      </c>
      <c r="I29" s="7">
        <v>1000</v>
      </c>
      <c r="J29" s="60">
        <v>500</v>
      </c>
      <c r="K29" s="60">
        <v>500</v>
      </c>
      <c r="L29" s="60">
        <v>500</v>
      </c>
      <c r="M29" s="86">
        <v>1000</v>
      </c>
      <c r="N29" s="86">
        <v>500</v>
      </c>
      <c r="O29" s="86">
        <f>500*1.03</f>
        <v>515</v>
      </c>
    </row>
    <row r="30" spans="1:16" s="20" customFormat="1" ht="15" hidden="1" thickTop="1" x14ac:dyDescent="0.35">
      <c r="A30" s="12" t="s">
        <v>118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6" s="20" customFormat="1" ht="15.5" hidden="1" thickTop="1" thickBot="1" x14ac:dyDescent="0.4">
      <c r="A31" s="19" t="s">
        <v>119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6" ht="15.5" thickTop="1" thickBot="1" x14ac:dyDescent="0.4">
      <c r="A32" s="7" t="s">
        <v>123</v>
      </c>
      <c r="B32" s="7"/>
      <c r="C32" s="7"/>
      <c r="D32" s="7">
        <v>1539</v>
      </c>
      <c r="E32" s="7">
        <v>1750</v>
      </c>
      <c r="F32" s="64">
        <v>0</v>
      </c>
      <c r="G32" s="7">
        <f>SUM(G26:G31)</f>
        <v>1750</v>
      </c>
      <c r="H32" s="7">
        <f t="shared" ref="H32:K32" si="7">SUM(H26:H31)</f>
        <v>1750</v>
      </c>
      <c r="I32" s="7">
        <f t="shared" si="7"/>
        <v>1750</v>
      </c>
      <c r="J32" s="7">
        <f t="shared" si="7"/>
        <v>1250</v>
      </c>
      <c r="K32" s="7">
        <f t="shared" si="7"/>
        <v>1250</v>
      </c>
      <c r="L32" s="7">
        <f t="shared" ref="L32:M32" si="8">SUM(L26:L31)</f>
        <v>850</v>
      </c>
      <c r="M32" s="7">
        <f t="shared" si="8"/>
        <v>1350</v>
      </c>
      <c r="N32" s="7">
        <f t="shared" ref="N32" si="9">SUM(N26:N31)</f>
        <v>850</v>
      </c>
      <c r="O32" s="7">
        <f t="shared" ref="O32" si="10">SUM(O26:O31)</f>
        <v>1625.5</v>
      </c>
    </row>
    <row r="33" spans="1:21" ht="15" thickTop="1" x14ac:dyDescent="0.35">
      <c r="A33" s="11"/>
      <c r="B33" s="11"/>
      <c r="C33" s="11"/>
      <c r="H33" s="2"/>
      <c r="I33" s="2"/>
      <c r="J33" s="2"/>
      <c r="K33" s="2"/>
      <c r="L33" s="2"/>
      <c r="M33" s="2"/>
      <c r="N33" s="2"/>
      <c r="O33" s="2"/>
    </row>
    <row r="34" spans="1:21" x14ac:dyDescent="0.35">
      <c r="A34" s="15" t="s">
        <v>133</v>
      </c>
      <c r="B34" s="2"/>
      <c r="C34" s="2"/>
      <c r="D34" s="15"/>
      <c r="E34" s="15"/>
      <c r="H34" s="2"/>
      <c r="I34" s="2"/>
      <c r="J34" s="2"/>
      <c r="K34" s="2"/>
      <c r="L34" s="2"/>
      <c r="M34" s="2"/>
      <c r="N34" s="2"/>
      <c r="O34" s="2"/>
    </row>
    <row r="35" spans="1:21" x14ac:dyDescent="0.35">
      <c r="A35" s="57" t="s">
        <v>254</v>
      </c>
      <c r="B35" s="2"/>
      <c r="C35" s="2"/>
      <c r="D35" s="15"/>
      <c r="E35" s="15"/>
      <c r="H35" s="2"/>
      <c r="I35" s="2"/>
      <c r="J35" s="2"/>
      <c r="K35" s="2"/>
      <c r="L35" s="2"/>
      <c r="M35" s="2"/>
      <c r="N35" s="2"/>
      <c r="O35" s="2">
        <v>300</v>
      </c>
      <c r="P35" t="s">
        <v>255</v>
      </c>
    </row>
    <row r="36" spans="1:21" ht="15" thickBot="1" x14ac:dyDescent="0.4">
      <c r="A36" s="11" t="s">
        <v>253</v>
      </c>
      <c r="B36" s="11"/>
      <c r="C36" s="11"/>
      <c r="D36" s="11">
        <v>2265</v>
      </c>
      <c r="E36" s="11">
        <v>3000</v>
      </c>
      <c r="F36" s="11">
        <v>0</v>
      </c>
      <c r="G36" s="11">
        <v>3000</v>
      </c>
      <c r="H36" s="11">
        <v>3001</v>
      </c>
      <c r="I36" s="11">
        <v>3000</v>
      </c>
      <c r="J36" s="89">
        <v>2500</v>
      </c>
      <c r="K36" s="89">
        <v>2000</v>
      </c>
      <c r="L36" s="89">
        <v>1500</v>
      </c>
      <c r="M36" s="90">
        <v>3000</v>
      </c>
      <c r="N36" s="90">
        <v>1500</v>
      </c>
      <c r="O36" s="90">
        <v>3000</v>
      </c>
    </row>
    <row r="37" spans="1:21" ht="15.5" thickTop="1" thickBot="1" x14ac:dyDescent="0.4">
      <c r="A37" s="13" t="s">
        <v>135</v>
      </c>
      <c r="B37" s="13"/>
      <c r="C37" s="13"/>
      <c r="D37" s="13">
        <v>2265</v>
      </c>
      <c r="E37" s="13">
        <v>3000</v>
      </c>
      <c r="F37" s="96">
        <v>0</v>
      </c>
      <c r="G37" s="13">
        <f t="shared" ref="G37:N37" si="11">SUM(G36)</f>
        <v>3000</v>
      </c>
      <c r="H37" s="13">
        <f t="shared" si="11"/>
        <v>3001</v>
      </c>
      <c r="I37" s="13">
        <f t="shared" si="11"/>
        <v>3000</v>
      </c>
      <c r="J37" s="13">
        <f t="shared" si="11"/>
        <v>2500</v>
      </c>
      <c r="K37" s="13">
        <f t="shared" si="11"/>
        <v>2000</v>
      </c>
      <c r="L37" s="13">
        <f t="shared" si="11"/>
        <v>1500</v>
      </c>
      <c r="M37" s="13">
        <f t="shared" si="11"/>
        <v>3000</v>
      </c>
      <c r="N37" s="13">
        <f t="shared" si="11"/>
        <v>1500</v>
      </c>
      <c r="O37" s="13">
        <f>SUM(O35:O36)</f>
        <v>3300</v>
      </c>
    </row>
    <row r="38" spans="1:21" ht="15" thickTop="1" x14ac:dyDescent="0.35">
      <c r="A38" s="11"/>
      <c r="B38" s="11"/>
      <c r="C38" s="11"/>
      <c r="H38" s="2"/>
      <c r="I38" s="2"/>
      <c r="J38" s="2"/>
      <c r="K38" s="2"/>
      <c r="L38" s="2"/>
      <c r="M38" s="2"/>
      <c r="N38" s="2"/>
      <c r="O38" s="2"/>
    </row>
    <row r="39" spans="1:21" x14ac:dyDescent="0.35">
      <c r="A39" s="15" t="s">
        <v>131</v>
      </c>
      <c r="B39" s="2"/>
      <c r="C39" s="2"/>
      <c r="D39" s="15"/>
      <c r="E39" s="15"/>
      <c r="H39" s="2"/>
      <c r="I39" s="2"/>
      <c r="J39" s="2"/>
      <c r="K39" s="2"/>
      <c r="L39" s="2"/>
      <c r="M39" s="2"/>
      <c r="N39" s="2"/>
      <c r="O39" s="2"/>
    </row>
    <row r="40" spans="1:21" x14ac:dyDescent="0.35">
      <c r="A40" s="2" t="s">
        <v>174</v>
      </c>
      <c r="B40" s="2"/>
      <c r="C40" s="2"/>
      <c r="D40" s="2">
        <v>4624</v>
      </c>
      <c r="E40" s="2">
        <v>3900</v>
      </c>
      <c r="F40" s="2">
        <v>1950</v>
      </c>
      <c r="G40" s="2">
        <f>SUM(U40)*3</f>
        <v>0</v>
      </c>
      <c r="H40" s="2">
        <f t="shared" ref="H40" si="12">SUM(V40)*3</f>
        <v>0</v>
      </c>
      <c r="I40" s="62">
        <f>SUM(U40)*2</f>
        <v>0</v>
      </c>
      <c r="J40" s="57">
        <f>SUM(U40)*3</f>
        <v>0</v>
      </c>
      <c r="K40" s="62">
        <f>SUM(U40)*2</f>
        <v>0</v>
      </c>
      <c r="L40" s="62">
        <v>5450</v>
      </c>
      <c r="M40" s="57">
        <v>8175</v>
      </c>
      <c r="N40" s="57">
        <v>4893</v>
      </c>
      <c r="O40" s="57">
        <f>2*1500</f>
        <v>3000</v>
      </c>
      <c r="U40" t="s">
        <v>159</v>
      </c>
    </row>
    <row r="41" spans="1:21" x14ac:dyDescent="0.35">
      <c r="A41" s="2" t="s">
        <v>132</v>
      </c>
      <c r="B41" s="2"/>
      <c r="C41" s="2"/>
      <c r="D41" s="2">
        <v>705</v>
      </c>
      <c r="E41" s="2">
        <v>650</v>
      </c>
      <c r="F41" s="2">
        <v>150</v>
      </c>
      <c r="G41" s="2">
        <v>650</v>
      </c>
      <c r="H41" s="2">
        <v>650</v>
      </c>
      <c r="I41" s="2">
        <v>650</v>
      </c>
      <c r="J41" s="57">
        <v>650</v>
      </c>
      <c r="K41" s="62">
        <v>300</v>
      </c>
      <c r="L41" s="62">
        <v>300</v>
      </c>
      <c r="M41" s="57">
        <v>650</v>
      </c>
      <c r="N41" s="57">
        <v>706.87</v>
      </c>
      <c r="O41" s="57">
        <v>2000</v>
      </c>
      <c r="P41" t="s">
        <v>256</v>
      </c>
    </row>
    <row r="42" spans="1:21" ht="15" thickBot="1" x14ac:dyDescent="0.4">
      <c r="A42" s="7" t="s">
        <v>175</v>
      </c>
      <c r="B42" s="7"/>
      <c r="C42" s="7"/>
      <c r="D42" s="7">
        <v>121</v>
      </c>
      <c r="E42" s="7">
        <v>248</v>
      </c>
      <c r="F42" s="7">
        <v>124</v>
      </c>
      <c r="G42" s="7">
        <v>250</v>
      </c>
      <c r="H42" s="7">
        <v>250</v>
      </c>
      <c r="I42" s="7">
        <v>250</v>
      </c>
      <c r="J42" s="7">
        <v>250</v>
      </c>
      <c r="K42" s="7">
        <v>250</v>
      </c>
      <c r="L42" s="60">
        <v>100</v>
      </c>
      <c r="M42" s="86">
        <v>100</v>
      </c>
      <c r="N42" s="86">
        <v>100</v>
      </c>
      <c r="O42" s="86">
        <f>100*1.03</f>
        <v>103</v>
      </c>
    </row>
    <row r="43" spans="1:21" ht="15.5" thickTop="1" thickBot="1" x14ac:dyDescent="0.4">
      <c r="A43" s="7" t="s">
        <v>134</v>
      </c>
      <c r="B43" s="7"/>
      <c r="C43" s="7"/>
      <c r="D43" s="7">
        <v>5450</v>
      </c>
      <c r="E43" s="7">
        <v>4798</v>
      </c>
      <c r="F43" s="7">
        <f>SUM(F40:F42)</f>
        <v>2224</v>
      </c>
      <c r="G43" s="7">
        <f>SUM(G40:G42)</f>
        <v>900</v>
      </c>
      <c r="H43" s="7">
        <f t="shared" ref="H43:K43" si="13">SUM(H40:H42)</f>
        <v>900</v>
      </c>
      <c r="I43" s="7">
        <f t="shared" si="13"/>
        <v>900</v>
      </c>
      <c r="J43" s="7">
        <f t="shared" si="13"/>
        <v>900</v>
      </c>
      <c r="K43" s="7">
        <f t="shared" si="13"/>
        <v>550</v>
      </c>
      <c r="L43" s="7">
        <f t="shared" ref="L43:M43" si="14">SUM(L40:L42)</f>
        <v>5850</v>
      </c>
      <c r="M43" s="7">
        <f t="shared" si="14"/>
        <v>8925</v>
      </c>
      <c r="N43" s="7">
        <f t="shared" ref="N43" si="15">SUM(N40:N42)</f>
        <v>5699.87</v>
      </c>
      <c r="O43" s="7">
        <f>SUM(O40:O42)</f>
        <v>5103</v>
      </c>
    </row>
    <row r="44" spans="1:21" ht="15" thickTop="1" x14ac:dyDescent="0.35">
      <c r="A44" s="11"/>
      <c r="B44" s="11"/>
      <c r="C44" s="11"/>
      <c r="D44" s="16"/>
      <c r="E44" s="16"/>
      <c r="H44" s="2"/>
      <c r="I44" s="2"/>
      <c r="J44" s="2"/>
      <c r="K44" s="2"/>
      <c r="L44" s="2"/>
      <c r="M44" s="2"/>
      <c r="N44" s="2"/>
      <c r="O44" s="2"/>
    </row>
    <row r="45" spans="1:21" x14ac:dyDescent="0.35">
      <c r="A45" s="18" t="s">
        <v>157</v>
      </c>
      <c r="B45" s="11"/>
      <c r="C45" s="11"/>
      <c r="D45" s="15"/>
      <c r="H45" s="2"/>
      <c r="I45" s="2"/>
      <c r="J45" s="2"/>
      <c r="K45" s="2"/>
      <c r="L45" s="2"/>
      <c r="M45" s="2"/>
      <c r="N45" s="2"/>
      <c r="O45" s="2"/>
    </row>
    <row r="46" spans="1:21" x14ac:dyDescent="0.35">
      <c r="A46" s="2" t="s">
        <v>114</v>
      </c>
      <c r="B46" s="2"/>
      <c r="C46" s="2"/>
      <c r="D46" s="2">
        <v>15500</v>
      </c>
      <c r="E46" s="2">
        <v>1000</v>
      </c>
      <c r="F46" s="65">
        <v>0</v>
      </c>
      <c r="G46" s="2">
        <v>1000</v>
      </c>
      <c r="H46" s="2">
        <v>1000</v>
      </c>
      <c r="I46" s="2">
        <v>1000</v>
      </c>
      <c r="J46" s="2">
        <v>1000</v>
      </c>
      <c r="K46" s="2">
        <v>1000</v>
      </c>
      <c r="L46" s="62">
        <v>500</v>
      </c>
      <c r="M46" s="2">
        <v>1000</v>
      </c>
      <c r="N46" s="2">
        <v>1000</v>
      </c>
      <c r="O46" s="2">
        <f>1000*1.03</f>
        <v>1030</v>
      </c>
    </row>
    <row r="47" spans="1:21" x14ac:dyDescent="0.35">
      <c r="A47" s="2" t="s">
        <v>115</v>
      </c>
      <c r="B47" s="2"/>
      <c r="C47" s="2"/>
      <c r="D47" s="2">
        <v>500</v>
      </c>
      <c r="E47" s="2">
        <v>500</v>
      </c>
      <c r="F47" s="2">
        <v>500</v>
      </c>
      <c r="G47" s="2">
        <v>500</v>
      </c>
      <c r="H47" s="2">
        <v>500</v>
      </c>
      <c r="I47" s="2">
        <v>500</v>
      </c>
      <c r="J47" s="2">
        <v>500</v>
      </c>
      <c r="K47" s="2">
        <v>500</v>
      </c>
      <c r="L47" s="2">
        <v>500</v>
      </c>
      <c r="M47" s="2">
        <v>500</v>
      </c>
      <c r="N47" s="2">
        <v>500</v>
      </c>
      <c r="O47" s="2">
        <f>500*1.03</f>
        <v>515</v>
      </c>
    </row>
    <row r="48" spans="1:21" x14ac:dyDescent="0.35">
      <c r="A48" s="2" t="s">
        <v>116</v>
      </c>
      <c r="B48" s="2"/>
      <c r="C48" s="2"/>
      <c r="D48" s="2">
        <v>1300</v>
      </c>
      <c r="E48" s="2">
        <v>1000</v>
      </c>
      <c r="F48" s="2">
        <v>1000</v>
      </c>
      <c r="G48" s="2">
        <v>1000</v>
      </c>
      <c r="H48" s="2">
        <v>1000</v>
      </c>
      <c r="I48" s="2">
        <v>1000</v>
      </c>
      <c r="J48" s="2">
        <v>1000</v>
      </c>
      <c r="K48" s="2">
        <v>1000</v>
      </c>
      <c r="L48" s="62">
        <v>850</v>
      </c>
      <c r="M48" s="2">
        <v>1000</v>
      </c>
      <c r="N48" s="2">
        <v>1000</v>
      </c>
      <c r="O48" s="2">
        <f>1000*1.03</f>
        <v>1030</v>
      </c>
    </row>
    <row r="49" spans="1:20" x14ac:dyDescent="0.35">
      <c r="A49" s="11" t="s">
        <v>51</v>
      </c>
      <c r="B49" s="2"/>
      <c r="C49" s="2"/>
      <c r="D49" s="2">
        <v>6223</v>
      </c>
      <c r="E49" s="2">
        <v>1000</v>
      </c>
      <c r="F49" s="65">
        <v>895</v>
      </c>
      <c r="G49" s="65">
        <v>1000</v>
      </c>
      <c r="H49" s="65">
        <v>1000</v>
      </c>
      <c r="I49" s="65">
        <v>1000</v>
      </c>
      <c r="J49" s="73">
        <v>600</v>
      </c>
      <c r="K49" s="73">
        <v>600</v>
      </c>
      <c r="L49" s="73">
        <v>600</v>
      </c>
      <c r="M49" s="87">
        <v>1000</v>
      </c>
      <c r="N49" s="87">
        <v>1000</v>
      </c>
      <c r="O49" s="87">
        <f>SUM(O50:O51)</f>
        <v>1250</v>
      </c>
    </row>
    <row r="50" spans="1:20" x14ac:dyDescent="0.35">
      <c r="A50" s="11"/>
      <c r="B50" s="12" t="s">
        <v>249</v>
      </c>
      <c r="C50" s="2"/>
      <c r="F50" s="65"/>
      <c r="G50" s="65"/>
      <c r="H50" s="65"/>
      <c r="I50" s="65"/>
      <c r="J50" s="73"/>
      <c r="K50" s="73"/>
      <c r="L50" s="73"/>
      <c r="M50" s="87"/>
      <c r="N50" s="87"/>
      <c r="O50" s="99">
        <v>800</v>
      </c>
    </row>
    <row r="51" spans="1:20" s="20" customFormat="1" x14ac:dyDescent="0.35">
      <c r="A51" s="26"/>
      <c r="B51" s="12" t="s">
        <v>203</v>
      </c>
      <c r="C51" s="12"/>
      <c r="D51" s="12"/>
      <c r="E51" s="12"/>
      <c r="F51" s="20">
        <v>400</v>
      </c>
      <c r="G51" s="12">
        <v>400</v>
      </c>
      <c r="H51" s="12">
        <v>400</v>
      </c>
      <c r="I51" s="12">
        <v>400</v>
      </c>
      <c r="J51" s="12">
        <v>400</v>
      </c>
      <c r="K51" s="12">
        <v>400</v>
      </c>
      <c r="L51" s="12">
        <v>400</v>
      </c>
      <c r="M51" s="12">
        <v>400</v>
      </c>
      <c r="N51" s="12">
        <v>400</v>
      </c>
      <c r="O51" s="12">
        <v>450</v>
      </c>
      <c r="T51" s="55"/>
    </row>
    <row r="52" spans="1:20" x14ac:dyDescent="0.35">
      <c r="A52" s="11" t="s">
        <v>176</v>
      </c>
      <c r="B52" s="2"/>
      <c r="C52" s="2"/>
      <c r="F52" s="2">
        <v>150</v>
      </c>
      <c r="G52" s="2">
        <v>300</v>
      </c>
      <c r="H52" s="2">
        <v>300</v>
      </c>
      <c r="I52" s="2">
        <v>300</v>
      </c>
      <c r="J52" s="2">
        <v>300</v>
      </c>
      <c r="K52" s="2">
        <v>300</v>
      </c>
      <c r="L52" s="2">
        <v>300</v>
      </c>
      <c r="M52" s="2">
        <v>300</v>
      </c>
      <c r="N52" s="2">
        <v>300</v>
      </c>
      <c r="O52" s="2">
        <v>300</v>
      </c>
    </row>
    <row r="53" spans="1:20" x14ac:dyDescent="0.35">
      <c r="A53" s="11" t="s">
        <v>177</v>
      </c>
      <c r="B53" s="2"/>
      <c r="C53" s="2"/>
      <c r="F53" s="2">
        <v>604</v>
      </c>
      <c r="G53" s="2">
        <f>SUM(G54:G55)</f>
        <v>635</v>
      </c>
      <c r="H53" s="2">
        <f t="shared" ref="H53:K53" si="16">SUM(H54:H55)</f>
        <v>635</v>
      </c>
      <c r="I53" s="2">
        <f t="shared" si="16"/>
        <v>635</v>
      </c>
      <c r="J53" s="2">
        <f t="shared" si="16"/>
        <v>635</v>
      </c>
      <c r="K53" s="2">
        <f t="shared" si="16"/>
        <v>635</v>
      </c>
      <c r="L53" s="2">
        <f t="shared" ref="L53:M53" si="17">SUM(L54:L55)</f>
        <v>635</v>
      </c>
      <c r="M53" s="2">
        <f t="shared" si="17"/>
        <v>635</v>
      </c>
      <c r="N53" s="2">
        <f t="shared" ref="N53" si="18">SUM(N54:N55)</f>
        <v>635</v>
      </c>
      <c r="O53" s="2">
        <f t="shared" ref="O53" si="19">SUM(O54:O55)</f>
        <v>772.5</v>
      </c>
    </row>
    <row r="54" spans="1:20" s="20" customFormat="1" x14ac:dyDescent="0.35">
      <c r="A54" s="26"/>
      <c r="B54" s="12" t="s">
        <v>199</v>
      </c>
      <c r="C54" s="12"/>
      <c r="D54" s="12"/>
      <c r="E54" s="12"/>
      <c r="F54" s="20">
        <v>50</v>
      </c>
      <c r="G54" s="12">
        <v>50</v>
      </c>
      <c r="H54" s="12">
        <v>50</v>
      </c>
      <c r="I54" s="12">
        <v>50</v>
      </c>
      <c r="J54" s="12">
        <v>50</v>
      </c>
      <c r="K54" s="12">
        <v>50</v>
      </c>
      <c r="L54" s="12">
        <v>50</v>
      </c>
      <c r="M54" s="12">
        <v>50</v>
      </c>
      <c r="N54" s="12">
        <v>50</v>
      </c>
      <c r="O54" s="12">
        <f>50*1.03</f>
        <v>51.5</v>
      </c>
    </row>
    <row r="55" spans="1:20" s="20" customFormat="1" x14ac:dyDescent="0.35">
      <c r="A55" s="26"/>
      <c r="B55" s="12" t="s">
        <v>200</v>
      </c>
      <c r="C55" s="12"/>
      <c r="D55" s="12"/>
      <c r="E55" s="12"/>
      <c r="F55" s="20">
        <v>554</v>
      </c>
      <c r="G55" s="12">
        <v>585</v>
      </c>
      <c r="H55" s="12">
        <v>585</v>
      </c>
      <c r="I55" s="12">
        <v>585</v>
      </c>
      <c r="J55" s="12">
        <v>585</v>
      </c>
      <c r="K55" s="12">
        <v>585</v>
      </c>
      <c r="L55" s="12">
        <v>585</v>
      </c>
      <c r="M55" s="12">
        <v>585</v>
      </c>
      <c r="N55" s="12">
        <v>585</v>
      </c>
      <c r="O55" s="12">
        <f>700*1.03</f>
        <v>721</v>
      </c>
    </row>
    <row r="56" spans="1:20" x14ac:dyDescent="0.35">
      <c r="A56" s="11" t="s">
        <v>178</v>
      </c>
      <c r="B56" s="2"/>
      <c r="C56" s="2"/>
      <c r="F56" s="2">
        <v>150</v>
      </c>
      <c r="G56" s="2">
        <v>300</v>
      </c>
      <c r="H56" s="2">
        <v>300</v>
      </c>
      <c r="I56" s="2">
        <v>300</v>
      </c>
      <c r="J56" s="2">
        <v>300</v>
      </c>
      <c r="K56" s="2">
        <v>300</v>
      </c>
      <c r="L56" s="2">
        <v>300</v>
      </c>
      <c r="M56" s="2">
        <v>300</v>
      </c>
      <c r="N56" s="2">
        <v>300</v>
      </c>
      <c r="O56" s="2">
        <v>0</v>
      </c>
    </row>
    <row r="57" spans="1:20" ht="15" thickBot="1" x14ac:dyDescent="0.4">
      <c r="A57" s="7" t="s">
        <v>52</v>
      </c>
      <c r="B57" s="7"/>
      <c r="C57" s="7"/>
      <c r="D57" s="7">
        <v>2939</v>
      </c>
      <c r="E57" s="7">
        <v>2500</v>
      </c>
      <c r="F57" s="7">
        <v>0</v>
      </c>
      <c r="G57" s="7">
        <v>1265</v>
      </c>
      <c r="H57" s="7">
        <v>1265</v>
      </c>
      <c r="I57" s="7">
        <v>1265</v>
      </c>
      <c r="J57" s="60">
        <v>1000</v>
      </c>
      <c r="K57" s="60">
        <v>1000</v>
      </c>
      <c r="L57" s="60">
        <v>500</v>
      </c>
      <c r="M57" s="86">
        <v>1265</v>
      </c>
      <c r="N57" s="86">
        <v>1265</v>
      </c>
      <c r="O57" s="86">
        <v>3000</v>
      </c>
      <c r="P57" t="s">
        <v>239</v>
      </c>
    </row>
    <row r="58" spans="1:20" ht="15.5" thickTop="1" thickBot="1" x14ac:dyDescent="0.4">
      <c r="A58" s="7" t="s">
        <v>158</v>
      </c>
      <c r="B58" s="7"/>
      <c r="C58" s="7"/>
      <c r="D58" s="7">
        <v>26462</v>
      </c>
      <c r="E58" s="7">
        <v>6000</v>
      </c>
      <c r="F58" s="7">
        <f>SUM(F46,F47,F48,F49,F52,F53,F56,F57)</f>
        <v>3299</v>
      </c>
      <c r="G58" s="7">
        <f t="shared" ref="G58:O58" si="20">SUM(G46:G49,G52:G53,G56:G57)</f>
        <v>6000</v>
      </c>
      <c r="H58" s="7">
        <f t="shared" si="20"/>
        <v>6000</v>
      </c>
      <c r="I58" s="7">
        <f t="shared" si="20"/>
        <v>6000</v>
      </c>
      <c r="J58" s="7">
        <f t="shared" si="20"/>
        <v>5335</v>
      </c>
      <c r="K58" s="7">
        <f t="shared" si="20"/>
        <v>5335</v>
      </c>
      <c r="L58" s="7">
        <f t="shared" si="20"/>
        <v>4185</v>
      </c>
      <c r="M58" s="7">
        <f t="shared" si="20"/>
        <v>6000</v>
      </c>
      <c r="N58" s="7">
        <f t="shared" si="20"/>
        <v>6000</v>
      </c>
      <c r="O58" s="7">
        <f t="shared" si="20"/>
        <v>7897.5</v>
      </c>
    </row>
    <row r="59" spans="1:20" ht="15" thickTop="1" x14ac:dyDescent="0.35">
      <c r="A59" s="11"/>
      <c r="B59" s="11"/>
      <c r="C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20" x14ac:dyDescent="0.35">
      <c r="A60" s="18" t="s">
        <v>172</v>
      </c>
      <c r="B60" s="2"/>
      <c r="C60" s="2"/>
      <c r="D60" s="15"/>
      <c r="E60" s="15"/>
      <c r="H60" s="2"/>
      <c r="I60" s="2"/>
      <c r="J60" s="2"/>
      <c r="K60" s="2"/>
      <c r="L60" s="2"/>
      <c r="M60" s="2"/>
      <c r="N60" s="2"/>
      <c r="O60" s="2"/>
    </row>
    <row r="61" spans="1:20" s="20" customFormat="1" hidden="1" x14ac:dyDescent="0.35">
      <c r="A61" s="26" t="s">
        <v>124</v>
      </c>
      <c r="B61" s="12"/>
      <c r="C61" s="12"/>
      <c r="D61" s="12">
        <v>1384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20" s="20" customFormat="1" hidden="1" x14ac:dyDescent="0.35">
      <c r="A62" s="26" t="s">
        <v>125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20" hidden="1" x14ac:dyDescent="0.35">
      <c r="A63" s="11"/>
      <c r="B63" s="2"/>
      <c r="C63" s="2"/>
      <c r="H63" s="2"/>
      <c r="I63" s="2"/>
      <c r="J63" s="2"/>
      <c r="K63" s="2"/>
      <c r="L63" s="2"/>
      <c r="M63" s="2"/>
      <c r="N63" s="2"/>
      <c r="O63" s="2"/>
    </row>
    <row r="64" spans="1:20" x14ac:dyDescent="0.35">
      <c r="A64" s="11" t="s">
        <v>167</v>
      </c>
      <c r="B64" s="2"/>
      <c r="C64" s="2"/>
      <c r="H64" s="2"/>
      <c r="I64" s="2"/>
      <c r="J64" s="2"/>
      <c r="K64" s="2"/>
      <c r="L64" s="2"/>
      <c r="M64" s="2"/>
      <c r="N64" s="2"/>
      <c r="O64" s="2"/>
    </row>
    <row r="65" spans="1:16" x14ac:dyDescent="0.35">
      <c r="A65" s="11" t="s">
        <v>126</v>
      </c>
      <c r="B65" s="2"/>
      <c r="C65" s="2"/>
      <c r="D65" s="2">
        <v>4633</v>
      </c>
      <c r="E65" s="2">
        <v>3383</v>
      </c>
      <c r="F65" s="11">
        <v>2846.93</v>
      </c>
      <c r="G65" s="21">
        <f>SUM(G66:G69)</f>
        <v>5560</v>
      </c>
      <c r="H65" s="21">
        <f t="shared" ref="H65" si="21">SUM(H66:H67)</f>
        <v>5500</v>
      </c>
      <c r="I65" s="21">
        <f t="shared" ref="I65:N65" si="22">SUM(I66:I69)</f>
        <v>3560</v>
      </c>
      <c r="J65" s="21">
        <f t="shared" si="22"/>
        <v>5560</v>
      </c>
      <c r="K65" s="21">
        <f t="shared" si="22"/>
        <v>3560</v>
      </c>
      <c r="L65" s="21">
        <f t="shared" si="22"/>
        <v>3560</v>
      </c>
      <c r="M65" s="21">
        <f t="shared" si="22"/>
        <v>4760</v>
      </c>
      <c r="N65" s="21">
        <f t="shared" si="22"/>
        <v>3560</v>
      </c>
      <c r="O65" s="21">
        <f t="shared" ref="O65" si="23">SUM(O66:O69)</f>
        <v>4128.2</v>
      </c>
    </row>
    <row r="66" spans="1:16" s="20" customFormat="1" x14ac:dyDescent="0.35">
      <c r="B66" s="26" t="s">
        <v>197</v>
      </c>
      <c r="C66" s="12"/>
      <c r="D66" s="12"/>
      <c r="E66" s="12"/>
      <c r="F66" s="12">
        <v>2790</v>
      </c>
      <c r="G66" s="11">
        <v>3500</v>
      </c>
      <c r="H66" s="11">
        <v>3500</v>
      </c>
      <c r="I66" s="11">
        <v>3500</v>
      </c>
      <c r="J66" s="11">
        <v>3500</v>
      </c>
      <c r="K66" s="11">
        <v>3500</v>
      </c>
      <c r="L66" s="11">
        <v>3500</v>
      </c>
      <c r="M66" s="11">
        <v>3500</v>
      </c>
      <c r="N66" s="11">
        <v>3500</v>
      </c>
      <c r="O66" s="11">
        <v>3600</v>
      </c>
    </row>
    <row r="67" spans="1:16" s="20" customFormat="1" x14ac:dyDescent="0.35">
      <c r="B67" s="26" t="s">
        <v>240</v>
      </c>
      <c r="C67" s="12"/>
      <c r="D67" s="12"/>
      <c r="E67" s="12"/>
      <c r="G67" s="33">
        <v>2000</v>
      </c>
      <c r="H67" s="33">
        <v>2000</v>
      </c>
      <c r="I67" s="33"/>
      <c r="J67" s="33">
        <v>2000</v>
      </c>
      <c r="K67" s="33"/>
      <c r="L67" s="33"/>
      <c r="M67" s="33">
        <v>1200</v>
      </c>
      <c r="N67" s="33">
        <v>0</v>
      </c>
      <c r="O67" s="33">
        <v>350</v>
      </c>
    </row>
    <row r="68" spans="1:16" s="20" customFormat="1" x14ac:dyDescent="0.35">
      <c r="B68" s="26" t="s">
        <v>241</v>
      </c>
      <c r="C68" s="12"/>
      <c r="D68" s="12"/>
      <c r="E68" s="12"/>
      <c r="G68" s="33"/>
      <c r="H68" s="33"/>
      <c r="I68" s="33"/>
      <c r="J68" s="33"/>
      <c r="K68" s="33"/>
      <c r="L68" s="33"/>
      <c r="M68" s="33"/>
      <c r="N68" s="33"/>
      <c r="O68" s="33">
        <v>50</v>
      </c>
    </row>
    <row r="69" spans="1:16" s="20" customFormat="1" x14ac:dyDescent="0.35">
      <c r="B69" s="26" t="s">
        <v>198</v>
      </c>
      <c r="C69" s="12"/>
      <c r="D69" s="12"/>
      <c r="E69" s="12"/>
      <c r="F69" s="20">
        <v>56.93</v>
      </c>
      <c r="G69" s="58">
        <v>60</v>
      </c>
      <c r="H69" s="58">
        <v>60</v>
      </c>
      <c r="I69" s="58">
        <v>60</v>
      </c>
      <c r="J69" s="58">
        <v>60</v>
      </c>
      <c r="K69" s="58">
        <v>60</v>
      </c>
      <c r="L69" s="58">
        <v>60</v>
      </c>
      <c r="M69" s="58">
        <v>60</v>
      </c>
      <c r="N69" s="58">
        <v>60</v>
      </c>
      <c r="O69" s="58">
        <v>128.19999999999999</v>
      </c>
    </row>
    <row r="70" spans="1:16" x14ac:dyDescent="0.35">
      <c r="A70" s="11" t="s">
        <v>127</v>
      </c>
      <c r="B70" s="2"/>
      <c r="C70" s="2"/>
      <c r="D70" s="2">
        <v>180</v>
      </c>
      <c r="E70" s="2">
        <v>250</v>
      </c>
      <c r="F70" s="11">
        <v>250</v>
      </c>
      <c r="G70" s="11">
        <v>250</v>
      </c>
      <c r="H70" s="11">
        <v>250</v>
      </c>
      <c r="I70" s="11">
        <v>250</v>
      </c>
      <c r="J70" s="11">
        <v>250</v>
      </c>
      <c r="K70" s="11">
        <v>250</v>
      </c>
      <c r="L70" s="11">
        <v>250</v>
      </c>
      <c r="M70" s="11">
        <v>250</v>
      </c>
      <c r="N70" s="11">
        <v>0</v>
      </c>
      <c r="O70" s="11">
        <v>250</v>
      </c>
    </row>
    <row r="71" spans="1:16" ht="15" thickBot="1" x14ac:dyDescent="0.4">
      <c r="A71" s="7" t="s">
        <v>128</v>
      </c>
      <c r="B71" s="7"/>
      <c r="C71" s="7"/>
      <c r="D71" s="7">
        <v>3077</v>
      </c>
      <c r="E71" s="7">
        <v>3342</v>
      </c>
      <c r="F71" s="7">
        <v>3342.05</v>
      </c>
      <c r="G71" s="7">
        <v>3342.05</v>
      </c>
      <c r="H71" s="7">
        <v>3342.05</v>
      </c>
      <c r="I71" s="7">
        <v>3342.05</v>
      </c>
      <c r="J71" s="7">
        <v>3342.05</v>
      </c>
      <c r="K71" s="7">
        <v>3342.05</v>
      </c>
      <c r="L71" s="7">
        <v>3342.05</v>
      </c>
      <c r="M71" s="7">
        <v>3342.05</v>
      </c>
      <c r="N71" s="7">
        <v>3342.05</v>
      </c>
      <c r="O71" s="7">
        <v>3500</v>
      </c>
    </row>
    <row r="72" spans="1:16" ht="15.5" thickTop="1" thickBot="1" x14ac:dyDescent="0.4">
      <c r="A72" s="7" t="s">
        <v>247</v>
      </c>
      <c r="B72" s="7"/>
      <c r="C72" s="7"/>
      <c r="D72" s="7">
        <v>7890</v>
      </c>
      <c r="E72" s="7">
        <v>6975</v>
      </c>
      <c r="F72" s="7">
        <f>SUM(F65,F70,F71)</f>
        <v>6438.98</v>
      </c>
      <c r="G72" s="7">
        <f>SUM(G65,G70:G71)</f>
        <v>9152.0499999999993</v>
      </c>
      <c r="H72" s="7">
        <f t="shared" ref="H72:K72" si="24">SUM(H65,H70:H71)</f>
        <v>9092.0499999999993</v>
      </c>
      <c r="I72" s="7">
        <f t="shared" si="24"/>
        <v>7152.05</v>
      </c>
      <c r="J72" s="7">
        <f t="shared" si="24"/>
        <v>9152.0499999999993</v>
      </c>
      <c r="K72" s="7">
        <f t="shared" si="24"/>
        <v>7152.05</v>
      </c>
      <c r="L72" s="7">
        <f t="shared" ref="L72:M72" si="25">SUM(L65,L70:L71)</f>
        <v>7152.05</v>
      </c>
      <c r="M72" s="7">
        <f t="shared" si="25"/>
        <v>8352.0499999999993</v>
      </c>
      <c r="N72" s="7">
        <f t="shared" ref="N72" si="26">SUM(N65,N70:N71)</f>
        <v>6902.05</v>
      </c>
      <c r="O72" s="7">
        <f t="shared" ref="O72" si="27">SUM(O65,O70:O71)</f>
        <v>7878.2</v>
      </c>
    </row>
    <row r="73" spans="1:16" ht="15" thickTop="1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6" x14ac:dyDescent="0.35">
      <c r="A74" s="11" t="s">
        <v>243</v>
      </c>
      <c r="B74" s="2"/>
      <c r="C74" s="2"/>
      <c r="F74" s="11"/>
      <c r="G74" s="11"/>
      <c r="H74" s="11">
        <v>250</v>
      </c>
      <c r="I74" s="11"/>
      <c r="J74" s="11"/>
      <c r="K74" s="11"/>
      <c r="L74" s="11"/>
      <c r="M74" s="11"/>
      <c r="N74" s="11"/>
      <c r="O74" s="11">
        <v>500</v>
      </c>
      <c r="P74" t="s">
        <v>259</v>
      </c>
    </row>
    <row r="75" spans="1:16" x14ac:dyDescent="0.35">
      <c r="A75" s="11" t="s">
        <v>244</v>
      </c>
      <c r="B75" s="2"/>
      <c r="C75" s="2"/>
      <c r="F75" s="11"/>
      <c r="G75" s="11"/>
      <c r="H75" s="11"/>
      <c r="I75" s="11"/>
      <c r="J75" s="11"/>
      <c r="K75" s="11"/>
      <c r="L75" s="11"/>
      <c r="M75" s="11"/>
      <c r="N75" s="11"/>
      <c r="O75" s="11">
        <v>50</v>
      </c>
    </row>
    <row r="76" spans="1:16" ht="15" thickBot="1" x14ac:dyDescent="0.4">
      <c r="A76" s="7" t="s">
        <v>248</v>
      </c>
      <c r="B76" s="7"/>
      <c r="C76" s="7"/>
      <c r="D76" s="7"/>
      <c r="E76" s="7"/>
      <c r="F76" s="7"/>
      <c r="G76" s="7"/>
      <c r="H76" s="7">
        <v>3342.05</v>
      </c>
      <c r="I76" s="7"/>
      <c r="J76" s="7"/>
      <c r="K76" s="7"/>
      <c r="L76" s="7"/>
      <c r="M76" s="7"/>
      <c r="N76" s="7"/>
      <c r="O76" s="7">
        <v>2000</v>
      </c>
      <c r="P76" t="s">
        <v>245</v>
      </c>
    </row>
    <row r="77" spans="1:16" ht="15.5" thickTop="1" thickBot="1" x14ac:dyDescent="0.4">
      <c r="A77" s="7" t="s">
        <v>246</v>
      </c>
      <c r="B77" s="7"/>
      <c r="C77" s="7"/>
      <c r="D77" s="7"/>
      <c r="E77" s="7"/>
      <c r="F77" s="7"/>
      <c r="G77" s="7"/>
      <c r="H77" s="7">
        <f t="shared" ref="H77" si="28">SUM(H69,H74:H76)</f>
        <v>3652.05</v>
      </c>
      <c r="I77" s="7"/>
      <c r="J77" s="7"/>
      <c r="K77" s="7"/>
      <c r="L77" s="7"/>
      <c r="M77" s="7"/>
      <c r="N77" s="7"/>
      <c r="O77" s="7">
        <f>SUM(O74:O76)</f>
        <v>2550</v>
      </c>
    </row>
    <row r="78" spans="1:16" ht="15" thickTop="1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 t="s">
        <v>159</v>
      </c>
    </row>
    <row r="79" spans="1:16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6" x14ac:dyDescent="0.35">
      <c r="A80" s="15" t="s">
        <v>160</v>
      </c>
      <c r="B80" s="2"/>
      <c r="C80" s="2"/>
      <c r="D80" s="15"/>
      <c r="H80" s="2"/>
      <c r="I80" s="2"/>
      <c r="J80" s="2"/>
      <c r="K80" s="2"/>
      <c r="L80" s="2"/>
      <c r="M80" s="2"/>
      <c r="N80" s="2"/>
      <c r="O80" s="2"/>
      <c r="P80" t="s">
        <v>242</v>
      </c>
    </row>
    <row r="81" spans="1:16" x14ac:dyDescent="0.35">
      <c r="A81" s="32" t="s">
        <v>112</v>
      </c>
      <c r="B81" s="11"/>
      <c r="C81" s="11"/>
      <c r="D81" s="11">
        <v>9703</v>
      </c>
      <c r="E81" s="11">
        <v>10673</v>
      </c>
      <c r="F81" s="11">
        <v>11282.6</v>
      </c>
      <c r="G81" s="11">
        <f>SUM(G82:G83)</f>
        <v>14282</v>
      </c>
      <c r="H81" s="11">
        <f t="shared" ref="H81:K81" si="29">SUM(H82:H83)</f>
        <v>14282</v>
      </c>
      <c r="I81" s="11">
        <f t="shared" si="29"/>
        <v>3000</v>
      </c>
      <c r="J81" s="11">
        <f t="shared" si="29"/>
        <v>3000</v>
      </c>
      <c r="K81" s="11">
        <f t="shared" si="29"/>
        <v>11282</v>
      </c>
      <c r="L81" s="11">
        <f t="shared" ref="L81:M81" si="30">SUM(L82:L83)</f>
        <v>14282</v>
      </c>
      <c r="M81" s="11">
        <f t="shared" si="30"/>
        <v>6000</v>
      </c>
      <c r="N81" s="11">
        <v>11282</v>
      </c>
      <c r="O81" s="11">
        <v>0</v>
      </c>
    </row>
    <row r="82" spans="1:16" x14ac:dyDescent="0.35">
      <c r="A82" s="26" t="s">
        <v>209</v>
      </c>
      <c r="B82" s="11"/>
      <c r="C82" s="11"/>
      <c r="D82" s="11"/>
      <c r="E82" s="11"/>
      <c r="F82" s="11"/>
      <c r="G82" s="33">
        <v>11282</v>
      </c>
      <c r="H82" s="33">
        <v>11282</v>
      </c>
      <c r="I82" s="61">
        <v>0</v>
      </c>
      <c r="J82" s="59">
        <v>0</v>
      </c>
      <c r="K82" s="33">
        <v>11282</v>
      </c>
      <c r="L82" s="33">
        <v>11282</v>
      </c>
      <c r="M82" s="33">
        <v>0</v>
      </c>
      <c r="N82" s="33">
        <v>0</v>
      </c>
      <c r="O82" s="33">
        <v>0</v>
      </c>
    </row>
    <row r="83" spans="1:16" ht="15" thickBot="1" x14ac:dyDescent="0.4">
      <c r="A83" s="19" t="s">
        <v>210</v>
      </c>
      <c r="B83" s="7"/>
      <c r="C83" s="7"/>
      <c r="D83" s="7"/>
      <c r="E83" s="7"/>
      <c r="F83" s="7"/>
      <c r="G83" s="19">
        <v>3000</v>
      </c>
      <c r="H83" s="19">
        <v>3000</v>
      </c>
      <c r="I83" s="19">
        <v>3000</v>
      </c>
      <c r="J83" s="19">
        <v>3000</v>
      </c>
      <c r="K83" s="60">
        <v>0</v>
      </c>
      <c r="L83" s="19">
        <v>3000</v>
      </c>
      <c r="M83" s="19">
        <v>6000</v>
      </c>
      <c r="N83" s="19">
        <v>3000</v>
      </c>
      <c r="O83" s="60">
        <v>0</v>
      </c>
      <c r="P83" t="s">
        <v>257</v>
      </c>
    </row>
    <row r="84" spans="1:16" ht="15.5" thickTop="1" thickBot="1" x14ac:dyDescent="0.4">
      <c r="A84" s="7" t="s">
        <v>161</v>
      </c>
      <c r="B84" s="7"/>
      <c r="C84" s="7"/>
      <c r="D84" s="7">
        <v>9703</v>
      </c>
      <c r="E84" s="7">
        <v>10673</v>
      </c>
      <c r="F84" s="7">
        <f>SUM(F81)</f>
        <v>11282.6</v>
      </c>
      <c r="G84" s="7">
        <f>SUM(G81)</f>
        <v>14282</v>
      </c>
      <c r="H84" s="7">
        <f t="shared" ref="H84:J84" si="31">SUM(H81)</f>
        <v>14282</v>
      </c>
      <c r="I84" s="7">
        <f t="shared" si="31"/>
        <v>3000</v>
      </c>
      <c r="J84" s="7">
        <f t="shared" si="31"/>
        <v>3000</v>
      </c>
      <c r="K84" s="7">
        <f t="shared" ref="K84:L84" si="32">SUM(K81)</f>
        <v>11282</v>
      </c>
      <c r="L84" s="7">
        <f t="shared" si="32"/>
        <v>14282</v>
      </c>
      <c r="M84" s="7">
        <f t="shared" ref="M84" si="33">SUM(M81)</f>
        <v>6000</v>
      </c>
      <c r="N84" s="7">
        <f>SUM(N81+N83)</f>
        <v>14282</v>
      </c>
      <c r="O84" s="7">
        <f>SUM(O81+O83)</f>
        <v>0</v>
      </c>
    </row>
    <row r="85" spans="1:16" ht="15" thickTop="1" x14ac:dyDescent="0.35">
      <c r="A85" s="11"/>
      <c r="B85" s="11"/>
      <c r="C85" s="11"/>
      <c r="H85" s="2"/>
      <c r="I85" s="2"/>
      <c r="J85" s="2"/>
      <c r="K85" s="2"/>
      <c r="L85" s="2"/>
      <c r="M85" s="2"/>
      <c r="N85" s="2"/>
      <c r="O85" s="2"/>
    </row>
    <row r="86" spans="1:16" x14ac:dyDescent="0.35">
      <c r="A86" s="15" t="s">
        <v>100</v>
      </c>
      <c r="B86" s="2"/>
      <c r="C86" s="2"/>
      <c r="D86" s="15"/>
      <c r="E86" s="15"/>
      <c r="H86" s="2"/>
      <c r="I86" s="2"/>
      <c r="J86" s="2"/>
      <c r="K86" s="2"/>
      <c r="L86" s="2"/>
      <c r="M86" s="2"/>
      <c r="N86" s="2"/>
      <c r="O86" s="2"/>
    </row>
    <row r="87" spans="1:16" s="20" customFormat="1" x14ac:dyDescent="0.35">
      <c r="A87" s="2" t="s">
        <v>103</v>
      </c>
      <c r="B87" s="2"/>
      <c r="C87" s="2"/>
      <c r="D87" s="2">
        <v>300</v>
      </c>
      <c r="E87" s="2">
        <v>735</v>
      </c>
      <c r="F87" s="2">
        <v>733.33</v>
      </c>
      <c r="G87" s="2">
        <v>500</v>
      </c>
      <c r="H87" s="2">
        <v>500</v>
      </c>
      <c r="I87" s="2">
        <v>500</v>
      </c>
      <c r="J87" s="2">
        <v>500</v>
      </c>
      <c r="K87" s="2">
        <v>500</v>
      </c>
      <c r="L87" s="2">
        <v>500</v>
      </c>
      <c r="M87" s="2">
        <v>500</v>
      </c>
      <c r="N87" s="2">
        <v>500</v>
      </c>
      <c r="O87" s="2">
        <f>500*1.03</f>
        <v>515</v>
      </c>
    </row>
    <row r="88" spans="1:16" s="20" customFormat="1" x14ac:dyDescent="0.35">
      <c r="A88" s="2" t="s">
        <v>104</v>
      </c>
      <c r="B88" s="2"/>
      <c r="C88" s="2"/>
      <c r="D88" s="2">
        <v>148</v>
      </c>
      <c r="E88" s="2">
        <v>200</v>
      </c>
      <c r="F88" s="2">
        <v>191.49</v>
      </c>
      <c r="G88" s="2">
        <v>200</v>
      </c>
      <c r="H88" s="2">
        <v>200</v>
      </c>
      <c r="I88" s="2">
        <v>200</v>
      </c>
      <c r="J88" s="2">
        <v>200</v>
      </c>
      <c r="K88" s="2">
        <v>200</v>
      </c>
      <c r="L88" s="2">
        <v>200</v>
      </c>
      <c r="M88" s="2">
        <v>200</v>
      </c>
      <c r="N88" s="2">
        <v>200</v>
      </c>
      <c r="O88" s="2">
        <v>200</v>
      </c>
    </row>
    <row r="89" spans="1:16" s="20" customFormat="1" x14ac:dyDescent="0.35">
      <c r="A89" s="2" t="s">
        <v>105</v>
      </c>
      <c r="B89" s="2"/>
      <c r="C89" s="2"/>
      <c r="D89" s="2">
        <v>818</v>
      </c>
      <c r="E89" s="2">
        <v>850</v>
      </c>
      <c r="F89" s="2">
        <v>1436.92</v>
      </c>
      <c r="G89" s="65">
        <v>1200</v>
      </c>
      <c r="H89" s="65">
        <v>1200</v>
      </c>
      <c r="I89" s="65">
        <v>1200</v>
      </c>
      <c r="J89" s="65">
        <v>1200</v>
      </c>
      <c r="K89" s="65">
        <v>1200</v>
      </c>
      <c r="L89" s="65">
        <v>1200</v>
      </c>
      <c r="M89" s="65">
        <v>1200</v>
      </c>
      <c r="N89" s="65">
        <v>1200</v>
      </c>
      <c r="O89" s="65">
        <f>SUM(O90:O93)</f>
        <v>800.22760000000017</v>
      </c>
    </row>
    <row r="90" spans="1:16" s="20" customFormat="1" x14ac:dyDescent="0.35">
      <c r="A90" s="12"/>
      <c r="B90" s="12" t="s">
        <v>194</v>
      </c>
      <c r="C90" s="12"/>
      <c r="D90" s="12"/>
      <c r="E90" s="12"/>
      <c r="F90" s="2"/>
      <c r="G90" s="20">
        <v>495.35</v>
      </c>
      <c r="H90" s="20">
        <v>495.35</v>
      </c>
      <c r="I90" s="20">
        <v>495.35</v>
      </c>
      <c r="J90" s="20">
        <v>495.35</v>
      </c>
      <c r="K90" s="20">
        <v>495.35</v>
      </c>
      <c r="L90" s="20">
        <v>495.35</v>
      </c>
      <c r="M90" s="20">
        <v>495.35</v>
      </c>
      <c r="N90" s="20">
        <v>495.35</v>
      </c>
      <c r="O90" s="20">
        <f>495.35*1.03</f>
        <v>510.21050000000002</v>
      </c>
    </row>
    <row r="91" spans="1:16" x14ac:dyDescent="0.35">
      <c r="A91" s="12"/>
      <c r="B91" s="12" t="s">
        <v>195</v>
      </c>
      <c r="C91" s="12"/>
      <c r="D91" s="12"/>
      <c r="E91" s="12"/>
      <c r="G91" s="20">
        <v>160</v>
      </c>
      <c r="H91" s="20">
        <v>160</v>
      </c>
      <c r="I91" s="20">
        <v>160</v>
      </c>
      <c r="J91" s="20">
        <v>160</v>
      </c>
      <c r="K91" s="20">
        <v>160</v>
      </c>
      <c r="L91" s="20">
        <v>160</v>
      </c>
      <c r="M91" s="20">
        <v>160</v>
      </c>
      <c r="N91" s="20">
        <v>160</v>
      </c>
      <c r="O91" s="20">
        <f>160*1.03</f>
        <v>164.8</v>
      </c>
    </row>
    <row r="92" spans="1:16" s="20" customFormat="1" x14ac:dyDescent="0.35">
      <c r="A92" s="12"/>
      <c r="B92" s="12" t="s">
        <v>204</v>
      </c>
      <c r="C92" s="12"/>
      <c r="D92" s="12"/>
      <c r="E92" s="12"/>
      <c r="F92" s="2"/>
      <c r="G92" s="20">
        <v>81.569999999999993</v>
      </c>
      <c r="H92" s="20">
        <v>81.569999999999993</v>
      </c>
      <c r="I92" s="20">
        <v>81.569999999999993</v>
      </c>
      <c r="J92" s="20">
        <v>81.569999999999993</v>
      </c>
      <c r="K92" s="20">
        <v>81.569999999999993</v>
      </c>
      <c r="L92" s="20">
        <v>81.569999999999993</v>
      </c>
      <c r="M92" s="20">
        <v>81.569999999999993</v>
      </c>
      <c r="N92" s="20">
        <v>81.569999999999993</v>
      </c>
      <c r="O92" s="20">
        <f>81.57*1.03</f>
        <v>84.017099999999999</v>
      </c>
    </row>
    <row r="93" spans="1:16" x14ac:dyDescent="0.35">
      <c r="A93" s="12"/>
      <c r="B93" s="12" t="s">
        <v>196</v>
      </c>
      <c r="C93" s="12"/>
      <c r="D93" s="12"/>
      <c r="E93" s="12"/>
      <c r="F93" s="2">
        <v>0</v>
      </c>
      <c r="G93" s="20">
        <v>40</v>
      </c>
      <c r="H93" s="20">
        <v>40</v>
      </c>
      <c r="I93" s="20">
        <v>40</v>
      </c>
      <c r="J93" s="20">
        <v>40</v>
      </c>
      <c r="K93" s="20">
        <v>40</v>
      </c>
      <c r="L93" s="20">
        <v>40</v>
      </c>
      <c r="M93" s="20">
        <v>40</v>
      </c>
      <c r="N93" s="20">
        <v>40</v>
      </c>
      <c r="O93" s="20">
        <f>40*1.03</f>
        <v>41.2</v>
      </c>
    </row>
    <row r="94" spans="1:16" s="20" customFormat="1" x14ac:dyDescent="0.35">
      <c r="A94" s="2" t="s">
        <v>190</v>
      </c>
      <c r="B94" s="2"/>
      <c r="C94" s="2"/>
      <c r="D94" s="2">
        <v>604</v>
      </c>
      <c r="E94" s="2">
        <v>150</v>
      </c>
      <c r="F94" s="2">
        <v>298</v>
      </c>
      <c r="G94" s="2">
        <v>300</v>
      </c>
      <c r="H94" s="2">
        <v>300</v>
      </c>
      <c r="I94" s="2">
        <v>300</v>
      </c>
      <c r="J94" s="2">
        <v>300</v>
      </c>
      <c r="K94" s="2">
        <v>300</v>
      </c>
      <c r="L94" s="2">
        <v>300</v>
      </c>
      <c r="M94" s="2">
        <v>300</v>
      </c>
      <c r="N94" s="2">
        <v>300</v>
      </c>
      <c r="O94" s="2">
        <f>O95</f>
        <v>250</v>
      </c>
    </row>
    <row r="95" spans="1:16" s="20" customFormat="1" x14ac:dyDescent="0.35">
      <c r="A95" s="12"/>
      <c r="B95" s="12" t="s">
        <v>170</v>
      </c>
      <c r="C95" s="12"/>
      <c r="D95" s="12"/>
      <c r="E95" s="12"/>
      <c r="F95" s="2"/>
      <c r="G95" s="2"/>
      <c r="H95" s="2"/>
      <c r="I95" s="2"/>
      <c r="J95" s="2"/>
      <c r="K95" s="2"/>
      <c r="L95" s="2"/>
      <c r="M95" s="2"/>
      <c r="N95" s="2"/>
      <c r="O95" s="12">
        <v>250</v>
      </c>
    </row>
    <row r="96" spans="1:16" x14ac:dyDescent="0.35">
      <c r="A96" s="27" t="s">
        <v>108</v>
      </c>
      <c r="B96" s="2" t="s">
        <v>187</v>
      </c>
      <c r="C96" s="2" t="s">
        <v>187</v>
      </c>
      <c r="D96" s="2">
        <v>3186</v>
      </c>
      <c r="E96" s="2">
        <v>2586</v>
      </c>
      <c r="F96" s="2">
        <v>2686.3</v>
      </c>
      <c r="G96" s="2">
        <f>SUM(G97:G98)</f>
        <v>2436</v>
      </c>
      <c r="H96" s="2">
        <f t="shared" ref="H96:K96" si="34">SUM(H97:H98)</f>
        <v>2436</v>
      </c>
      <c r="I96" s="2">
        <f t="shared" si="34"/>
        <v>2436</v>
      </c>
      <c r="J96" s="2">
        <f t="shared" si="34"/>
        <v>2436</v>
      </c>
      <c r="K96" s="2">
        <f t="shared" si="34"/>
        <v>2436</v>
      </c>
      <c r="L96" s="2">
        <f t="shared" ref="L96:M96" si="35">SUM(L97:L98)</f>
        <v>2436</v>
      </c>
      <c r="M96" s="2">
        <f t="shared" si="35"/>
        <v>2436</v>
      </c>
      <c r="N96" s="2">
        <f t="shared" ref="N96" si="36">SUM(N97:N98)</f>
        <v>2436</v>
      </c>
      <c r="O96" s="2">
        <f t="shared" ref="O96" si="37">SUM(O97:O98)</f>
        <v>2567.5</v>
      </c>
    </row>
    <row r="97" spans="1:20" x14ac:dyDescent="0.35">
      <c r="A97" s="20"/>
      <c r="B97" s="12" t="s">
        <v>189</v>
      </c>
      <c r="C97" s="28">
        <v>45292</v>
      </c>
      <c r="D97" s="12"/>
      <c r="E97" s="12"/>
      <c r="G97" s="34">
        <v>250</v>
      </c>
      <c r="H97" s="34">
        <v>250</v>
      </c>
      <c r="I97" s="34">
        <v>250</v>
      </c>
      <c r="J97" s="34">
        <v>250</v>
      </c>
      <c r="K97" s="34">
        <v>250</v>
      </c>
      <c r="L97" s="34">
        <v>250</v>
      </c>
      <c r="M97" s="34">
        <v>250</v>
      </c>
      <c r="N97" s="34">
        <v>250</v>
      </c>
      <c r="O97" s="34">
        <v>250</v>
      </c>
    </row>
    <row r="98" spans="1:20" x14ac:dyDescent="0.35">
      <c r="A98" s="29"/>
      <c r="B98" s="12" t="s">
        <v>164</v>
      </c>
      <c r="C98" s="28">
        <v>45383</v>
      </c>
      <c r="D98" s="12"/>
      <c r="E98" s="12"/>
      <c r="G98" s="12">
        <v>2186</v>
      </c>
      <c r="H98" s="12">
        <v>2186</v>
      </c>
      <c r="I98" s="12">
        <v>2186</v>
      </c>
      <c r="J98" s="12">
        <v>2186</v>
      </c>
      <c r="K98" s="12">
        <v>2186</v>
      </c>
      <c r="L98" s="12">
        <v>2186</v>
      </c>
      <c r="M98" s="12">
        <v>2186</v>
      </c>
      <c r="N98" s="12">
        <v>2186</v>
      </c>
      <c r="O98" s="12">
        <f>2250*1.03</f>
        <v>2317.5</v>
      </c>
    </row>
    <row r="99" spans="1:20" x14ac:dyDescent="0.35">
      <c r="A99" t="s">
        <v>109</v>
      </c>
      <c r="F99" s="2">
        <v>50.79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20" x14ac:dyDescent="0.35">
      <c r="A100" s="2" t="s">
        <v>110</v>
      </c>
      <c r="B100" s="2"/>
      <c r="C100" s="2"/>
      <c r="D100" s="2">
        <v>889</v>
      </c>
      <c r="E100" s="2">
        <v>755</v>
      </c>
      <c r="F100" s="2">
        <v>800</v>
      </c>
      <c r="G100" s="2">
        <v>800</v>
      </c>
      <c r="H100" s="2">
        <v>800</v>
      </c>
      <c r="I100" s="2">
        <v>800</v>
      </c>
      <c r="J100" s="62">
        <v>700</v>
      </c>
      <c r="K100" s="62">
        <v>600</v>
      </c>
      <c r="L100" s="62">
        <v>600</v>
      </c>
      <c r="M100" s="57">
        <v>800</v>
      </c>
      <c r="N100" s="57">
        <v>300</v>
      </c>
      <c r="O100" s="57">
        <v>500</v>
      </c>
    </row>
    <row r="101" spans="1:20" x14ac:dyDescent="0.35">
      <c r="A101" s="11" t="s">
        <v>193</v>
      </c>
      <c r="B101" s="11"/>
      <c r="C101" s="11"/>
      <c r="D101" s="11"/>
      <c r="E101" s="11">
        <v>0</v>
      </c>
      <c r="F101" s="11">
        <v>150</v>
      </c>
      <c r="G101" s="11">
        <v>150</v>
      </c>
      <c r="H101" s="11">
        <v>150</v>
      </c>
      <c r="I101" s="11">
        <v>150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150</v>
      </c>
    </row>
    <row r="102" spans="1:20" ht="15" thickBot="1" x14ac:dyDescent="0.4">
      <c r="A102" s="97" t="s">
        <v>169</v>
      </c>
      <c r="B102" s="97"/>
      <c r="C102" s="7"/>
      <c r="D102" s="19">
        <v>0</v>
      </c>
      <c r="E102" s="7">
        <v>0</v>
      </c>
      <c r="F102" s="7"/>
      <c r="G102" s="7"/>
      <c r="H102" s="7"/>
      <c r="I102" s="7"/>
      <c r="J102" s="7"/>
      <c r="K102" s="7"/>
      <c r="L102" s="7"/>
      <c r="M102" s="7"/>
      <c r="N102" s="7"/>
      <c r="O102" s="7">
        <v>500</v>
      </c>
      <c r="P102" t="s">
        <v>258</v>
      </c>
    </row>
    <row r="103" spans="1:20" ht="15.5" thickTop="1" thickBot="1" x14ac:dyDescent="0.4">
      <c r="A103" s="7" t="s">
        <v>162</v>
      </c>
      <c r="B103" s="7"/>
      <c r="C103" s="7"/>
      <c r="D103" s="66">
        <v>6257</v>
      </c>
      <c r="E103" s="7">
        <v>5276</v>
      </c>
      <c r="F103" s="7">
        <f>SUM(F87,F88,F89,F94,F96,F99,F100,F101)</f>
        <v>6346.8300000000008</v>
      </c>
      <c r="G103" s="7">
        <f t="shared" ref="G103:N103" si="38">SUM(G87:G89,G94,G96,G99:G101)</f>
        <v>5586</v>
      </c>
      <c r="H103" s="7">
        <f t="shared" si="38"/>
        <v>5586</v>
      </c>
      <c r="I103" s="7">
        <f t="shared" si="38"/>
        <v>5586</v>
      </c>
      <c r="J103" s="7">
        <f t="shared" si="38"/>
        <v>5336</v>
      </c>
      <c r="K103" s="7">
        <f t="shared" si="38"/>
        <v>5236</v>
      </c>
      <c r="L103" s="7">
        <f t="shared" si="38"/>
        <v>5236</v>
      </c>
      <c r="M103" s="7">
        <f t="shared" si="38"/>
        <v>5436</v>
      </c>
      <c r="N103" s="7">
        <f t="shared" si="38"/>
        <v>4936</v>
      </c>
      <c r="O103" s="7">
        <f>SUM(O87:O89,O94,O96,O99:O102)</f>
        <v>5482.7276000000002</v>
      </c>
    </row>
    <row r="104" spans="1:20" ht="15" thickTop="1" x14ac:dyDescent="0.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20" x14ac:dyDescent="0.35">
      <c r="A105" s="18" t="s">
        <v>15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20" x14ac:dyDescent="0.35">
      <c r="A106" s="2" t="s">
        <v>168</v>
      </c>
      <c r="B106" s="2" t="s">
        <v>191</v>
      </c>
      <c r="C106" s="2" t="s">
        <v>192</v>
      </c>
      <c r="E106" s="17">
        <v>321</v>
      </c>
      <c r="F106" s="2">
        <v>182</v>
      </c>
      <c r="G106" s="2">
        <v>312</v>
      </c>
      <c r="H106" s="2">
        <v>312</v>
      </c>
      <c r="I106" s="2">
        <v>312</v>
      </c>
      <c r="J106" s="2">
        <v>312</v>
      </c>
      <c r="K106" s="2">
        <v>312</v>
      </c>
      <c r="L106" s="2">
        <v>312</v>
      </c>
      <c r="M106" s="2">
        <v>312</v>
      </c>
      <c r="N106" s="2">
        <v>312</v>
      </c>
      <c r="O106" s="2">
        <v>312</v>
      </c>
    </row>
    <row r="107" spans="1:20" x14ac:dyDescent="0.35">
      <c r="A107" s="2" t="s">
        <v>106</v>
      </c>
      <c r="B107" s="2" t="s">
        <v>14</v>
      </c>
      <c r="C107" s="2"/>
      <c r="D107" s="2">
        <v>236</v>
      </c>
      <c r="E107" s="2">
        <v>140</v>
      </c>
      <c r="F107" s="2">
        <v>140.88</v>
      </c>
      <c r="G107" s="2">
        <v>132</v>
      </c>
      <c r="H107" s="2">
        <v>132</v>
      </c>
      <c r="I107" s="2">
        <v>132</v>
      </c>
      <c r="J107" s="2">
        <v>132</v>
      </c>
      <c r="K107" s="2">
        <v>132</v>
      </c>
      <c r="L107" s="2">
        <v>132</v>
      </c>
      <c r="M107" s="2">
        <v>132</v>
      </c>
      <c r="N107" s="2">
        <v>132</v>
      </c>
      <c r="O107" s="2">
        <f>132*1.03</f>
        <v>135.96</v>
      </c>
    </row>
    <row r="108" spans="1:20" s="20" customFormat="1" x14ac:dyDescent="0.35">
      <c r="A108" s="2" t="s">
        <v>107</v>
      </c>
      <c r="B108" s="21" t="s">
        <v>187</v>
      </c>
      <c r="C108" s="2"/>
      <c r="D108" s="2">
        <v>400</v>
      </c>
      <c r="E108" s="2">
        <v>420</v>
      </c>
      <c r="F108" s="2">
        <v>515</v>
      </c>
      <c r="G108" s="2">
        <v>600</v>
      </c>
      <c r="H108" s="2">
        <v>600</v>
      </c>
      <c r="I108" s="2">
        <v>600</v>
      </c>
      <c r="J108" s="2">
        <v>600</v>
      </c>
      <c r="K108" s="2">
        <v>600</v>
      </c>
      <c r="L108" s="2">
        <v>600</v>
      </c>
      <c r="M108" s="2">
        <v>600</v>
      </c>
      <c r="N108" s="2">
        <v>600</v>
      </c>
      <c r="O108" s="2">
        <f>504*1.03</f>
        <v>519.12</v>
      </c>
    </row>
    <row r="109" spans="1:20" s="20" customFormat="1" x14ac:dyDescent="0.35">
      <c r="A109" s="2" t="s">
        <v>179</v>
      </c>
      <c r="B109" s="2"/>
      <c r="C109" s="2"/>
      <c r="D109" s="2">
        <v>289</v>
      </c>
      <c r="E109" s="2">
        <v>300</v>
      </c>
      <c r="F109" s="2">
        <v>500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</row>
    <row r="110" spans="1:20" s="20" customFormat="1" x14ac:dyDescent="0.35">
      <c r="A110" s="2" t="s">
        <v>111</v>
      </c>
      <c r="B110" s="2"/>
      <c r="C110" s="2"/>
      <c r="D110" s="2">
        <v>133</v>
      </c>
      <c r="E110" s="2">
        <v>170</v>
      </c>
      <c r="F110" s="65">
        <f>SUM(F111:F113)</f>
        <v>144</v>
      </c>
      <c r="G110" s="2">
        <f>SUM(G111:G113)</f>
        <v>144</v>
      </c>
      <c r="H110" s="2">
        <f t="shared" ref="H110:K110" si="39">SUM(H111:H113)</f>
        <v>144</v>
      </c>
      <c r="I110" s="2">
        <f t="shared" si="39"/>
        <v>144</v>
      </c>
      <c r="J110" s="2">
        <f t="shared" si="39"/>
        <v>144</v>
      </c>
      <c r="K110" s="2">
        <f t="shared" si="39"/>
        <v>144</v>
      </c>
      <c r="L110" s="2">
        <f t="shared" ref="L110:M110" si="40">SUM(L111:L113)</f>
        <v>144</v>
      </c>
      <c r="M110" s="2">
        <f t="shared" si="40"/>
        <v>144</v>
      </c>
      <c r="N110" s="2">
        <f t="shared" ref="N110" si="41">SUM(N111:N113)</f>
        <v>144</v>
      </c>
      <c r="O110" s="2">
        <f t="shared" ref="O110" si="42">SUM(O111:O113)</f>
        <v>254</v>
      </c>
    </row>
    <row r="111" spans="1:20" x14ac:dyDescent="0.35">
      <c r="A111" s="12"/>
      <c r="B111" s="12" t="s">
        <v>76</v>
      </c>
      <c r="C111" s="12"/>
      <c r="D111" s="12"/>
      <c r="E111" s="12"/>
      <c r="F111" s="20">
        <v>72</v>
      </c>
      <c r="G111" s="12">
        <v>72</v>
      </c>
      <c r="H111" s="12">
        <v>72</v>
      </c>
      <c r="I111" s="12">
        <v>72</v>
      </c>
      <c r="J111" s="12">
        <v>72</v>
      </c>
      <c r="K111" s="12">
        <v>72</v>
      </c>
      <c r="L111" s="12">
        <v>72</v>
      </c>
      <c r="M111" s="12">
        <v>72</v>
      </c>
      <c r="N111" s="12">
        <v>72</v>
      </c>
      <c r="O111" s="12">
        <v>182</v>
      </c>
      <c r="T111" s="5"/>
    </row>
    <row r="112" spans="1:20" s="20" customFormat="1" x14ac:dyDescent="0.35">
      <c r="A112" s="12"/>
      <c r="B112" s="12" t="s">
        <v>205</v>
      </c>
      <c r="C112" s="12"/>
      <c r="D112" s="12"/>
      <c r="E112" s="12"/>
      <c r="F112" s="20">
        <v>36</v>
      </c>
      <c r="G112" s="12">
        <v>36</v>
      </c>
      <c r="H112" s="12">
        <v>36</v>
      </c>
      <c r="I112" s="12">
        <v>36</v>
      </c>
      <c r="J112" s="12">
        <v>36</v>
      </c>
      <c r="K112" s="12">
        <v>36</v>
      </c>
      <c r="L112" s="12">
        <v>36</v>
      </c>
      <c r="M112" s="12">
        <v>36</v>
      </c>
      <c r="N112" s="12">
        <v>36</v>
      </c>
      <c r="O112" s="12">
        <v>36</v>
      </c>
    </row>
    <row r="113" spans="1:15" s="20" customFormat="1" x14ac:dyDescent="0.35">
      <c r="A113" s="26"/>
      <c r="B113" s="26" t="s">
        <v>75</v>
      </c>
      <c r="C113" s="26"/>
      <c r="D113" s="26"/>
      <c r="E113" s="26"/>
      <c r="F113" s="20">
        <v>36</v>
      </c>
      <c r="G113" s="12">
        <v>36</v>
      </c>
      <c r="H113" s="12">
        <v>36</v>
      </c>
      <c r="I113" s="12">
        <v>36</v>
      </c>
      <c r="J113" s="12">
        <v>36</v>
      </c>
      <c r="K113" s="12">
        <v>36</v>
      </c>
      <c r="L113" s="12">
        <v>36</v>
      </c>
      <c r="M113" s="12">
        <v>36</v>
      </c>
      <c r="N113" s="12">
        <v>36</v>
      </c>
      <c r="O113" s="12">
        <v>36</v>
      </c>
    </row>
    <row r="114" spans="1:15" s="20" customFormat="1" x14ac:dyDescent="0.35">
      <c r="A114" s="11" t="s">
        <v>113</v>
      </c>
      <c r="B114" s="21" t="s">
        <v>187</v>
      </c>
      <c r="C114" s="11"/>
      <c r="D114" s="11">
        <v>373</v>
      </c>
      <c r="E114" s="11">
        <v>335</v>
      </c>
      <c r="F114" s="2">
        <v>758.8</v>
      </c>
      <c r="G114" s="65">
        <v>760</v>
      </c>
      <c r="H114" s="65">
        <v>760</v>
      </c>
      <c r="I114" s="65">
        <v>760</v>
      </c>
      <c r="J114" s="65">
        <v>760</v>
      </c>
      <c r="K114" s="65">
        <v>760</v>
      </c>
      <c r="L114" s="65">
        <v>760</v>
      </c>
      <c r="M114" s="65">
        <v>760</v>
      </c>
      <c r="N114" s="65">
        <v>760</v>
      </c>
      <c r="O114" s="65">
        <f>SUM(O115:O117)</f>
        <v>922.83879999999999</v>
      </c>
    </row>
    <row r="115" spans="1:15" x14ac:dyDescent="0.35">
      <c r="A115" s="29"/>
      <c r="B115" s="12" t="s">
        <v>183</v>
      </c>
      <c r="C115" s="12"/>
      <c r="D115" s="12"/>
      <c r="E115" s="12"/>
      <c r="F115" s="12"/>
      <c r="G115" s="20">
        <v>385.56</v>
      </c>
      <c r="H115" s="20">
        <v>385.56</v>
      </c>
      <c r="I115" s="20">
        <v>385.56</v>
      </c>
      <c r="J115" s="20">
        <v>385.56</v>
      </c>
      <c r="K115" s="20">
        <v>385.56</v>
      </c>
      <c r="L115" s="20">
        <v>385.56</v>
      </c>
      <c r="M115" s="20">
        <v>385.56</v>
      </c>
      <c r="N115" s="20">
        <v>385.56</v>
      </c>
      <c r="O115" s="20">
        <f>40.08*12*1.03</f>
        <v>495.3888</v>
      </c>
    </row>
    <row r="116" spans="1:15" s="20" customFormat="1" x14ac:dyDescent="0.35">
      <c r="A116" s="26"/>
      <c r="B116" s="26" t="s">
        <v>184</v>
      </c>
      <c r="C116" s="26"/>
      <c r="D116" s="26"/>
      <c r="E116" s="26"/>
      <c r="F116" s="12"/>
      <c r="G116" s="20">
        <v>356.4</v>
      </c>
      <c r="H116" s="20">
        <v>356.4</v>
      </c>
      <c r="I116" s="20">
        <v>356.4</v>
      </c>
      <c r="J116" s="20">
        <v>356.4</v>
      </c>
      <c r="K116" s="20">
        <v>356.4</v>
      </c>
      <c r="L116" s="20">
        <v>356.4</v>
      </c>
      <c r="M116" s="20">
        <v>356.4</v>
      </c>
      <c r="N116" s="20">
        <v>356.4</v>
      </c>
      <c r="O116" s="20">
        <f>375*1.03</f>
        <v>386.25</v>
      </c>
    </row>
    <row r="117" spans="1:15" s="20" customFormat="1" x14ac:dyDescent="0.35">
      <c r="A117" s="26"/>
      <c r="B117" s="26" t="s">
        <v>185</v>
      </c>
      <c r="C117" s="26"/>
      <c r="D117" s="26"/>
      <c r="E117" s="26"/>
      <c r="F117" s="12"/>
      <c r="G117" s="20">
        <v>40</v>
      </c>
      <c r="H117" s="20">
        <v>40</v>
      </c>
      <c r="I117" s="20">
        <v>40</v>
      </c>
      <c r="J117" s="20">
        <v>40</v>
      </c>
      <c r="K117" s="20">
        <v>40</v>
      </c>
      <c r="L117" s="20">
        <v>40</v>
      </c>
      <c r="M117" s="20">
        <v>40</v>
      </c>
      <c r="N117" s="20">
        <v>40</v>
      </c>
      <c r="O117" s="20">
        <f>40*1.03</f>
        <v>41.2</v>
      </c>
    </row>
    <row r="118" spans="1:15" x14ac:dyDescent="0.35">
      <c r="A118" s="11" t="s">
        <v>180</v>
      </c>
      <c r="B118" s="21" t="s">
        <v>187</v>
      </c>
      <c r="C118" s="11"/>
      <c r="D118" s="11"/>
      <c r="E118" s="11">
        <v>1000</v>
      </c>
      <c r="F118" s="2">
        <v>1248</v>
      </c>
      <c r="G118" s="2">
        <f t="shared" ref="G118:O118" si="43">SUM(G119:G120)</f>
        <v>720</v>
      </c>
      <c r="H118" s="2">
        <f t="shared" si="43"/>
        <v>720</v>
      </c>
      <c r="I118" s="2">
        <f t="shared" si="43"/>
        <v>720</v>
      </c>
      <c r="J118" s="2">
        <f t="shared" si="43"/>
        <v>720</v>
      </c>
      <c r="K118" s="2">
        <f t="shared" si="43"/>
        <v>720</v>
      </c>
      <c r="L118" s="2">
        <f t="shared" si="43"/>
        <v>720</v>
      </c>
      <c r="M118" s="2">
        <f t="shared" si="43"/>
        <v>720</v>
      </c>
      <c r="N118" s="2">
        <f t="shared" si="43"/>
        <v>720</v>
      </c>
      <c r="O118" s="2">
        <f t="shared" si="43"/>
        <v>430.12800000000004</v>
      </c>
    </row>
    <row r="119" spans="1:15" x14ac:dyDescent="0.35">
      <c r="A119" s="29"/>
      <c r="B119" s="12" t="s">
        <v>201</v>
      </c>
      <c r="C119" s="30" t="s">
        <v>202</v>
      </c>
      <c r="D119" s="12"/>
      <c r="E119" s="12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</row>
    <row r="120" spans="1:15" x14ac:dyDescent="0.35">
      <c r="A120" s="29"/>
      <c r="B120" s="12" t="s">
        <v>163</v>
      </c>
      <c r="C120" s="12"/>
      <c r="D120" s="12"/>
      <c r="E120" s="12"/>
      <c r="G120" s="20">
        <v>720</v>
      </c>
      <c r="H120" s="20">
        <v>720</v>
      </c>
      <c r="I120" s="20">
        <v>720</v>
      </c>
      <c r="J120" s="20">
        <v>720</v>
      </c>
      <c r="K120" s="20">
        <v>720</v>
      </c>
      <c r="L120" s="20">
        <v>720</v>
      </c>
      <c r="M120" s="20">
        <v>720</v>
      </c>
      <c r="N120" s="20">
        <v>720</v>
      </c>
      <c r="O120" s="20">
        <f>417.6*1.03</f>
        <v>430.12800000000004</v>
      </c>
    </row>
    <row r="121" spans="1:15" ht="15" thickBot="1" x14ac:dyDescent="0.4">
      <c r="A121" s="7" t="s">
        <v>181</v>
      </c>
      <c r="B121" s="19" t="s">
        <v>208</v>
      </c>
      <c r="C121" s="31">
        <v>45623</v>
      </c>
      <c r="D121" s="7"/>
      <c r="E121" s="7">
        <v>648</v>
      </c>
      <c r="F121" s="7">
        <v>524.17999999999995</v>
      </c>
      <c r="G121" s="7">
        <v>650</v>
      </c>
      <c r="H121" s="7">
        <v>650</v>
      </c>
      <c r="I121" s="7">
        <v>650</v>
      </c>
      <c r="J121" s="7">
        <v>650</v>
      </c>
      <c r="K121" s="7">
        <v>650</v>
      </c>
      <c r="L121" s="7">
        <v>650</v>
      </c>
      <c r="M121" s="7">
        <v>650</v>
      </c>
      <c r="N121" s="7">
        <v>650</v>
      </c>
      <c r="O121" s="7">
        <f>547.62*1.03</f>
        <v>564.04859999999996</v>
      </c>
    </row>
    <row r="122" spans="1:15" ht="15.5" thickTop="1" thickBot="1" x14ac:dyDescent="0.4">
      <c r="A122" s="13" t="s">
        <v>182</v>
      </c>
      <c r="B122" s="13"/>
      <c r="C122" s="13"/>
      <c r="D122" s="13">
        <v>1431</v>
      </c>
      <c r="E122" s="13">
        <v>3334</v>
      </c>
      <c r="F122" s="13">
        <f>SUM(F121,F118,F114,F110,F109,F108,F107,F106)</f>
        <v>4012.8599999999997</v>
      </c>
      <c r="G122" s="7">
        <f t="shared" ref="G122:O122" si="44">SUM(G106:G108,G109:G110,G114,G118,G121)</f>
        <v>3318</v>
      </c>
      <c r="H122" s="7">
        <f t="shared" si="44"/>
        <v>3318</v>
      </c>
      <c r="I122" s="7">
        <f t="shared" si="44"/>
        <v>3318</v>
      </c>
      <c r="J122" s="7">
        <f t="shared" si="44"/>
        <v>3318</v>
      </c>
      <c r="K122" s="7">
        <f t="shared" si="44"/>
        <v>3318</v>
      </c>
      <c r="L122" s="7">
        <f t="shared" si="44"/>
        <v>3318</v>
      </c>
      <c r="M122" s="7">
        <f t="shared" si="44"/>
        <v>3318</v>
      </c>
      <c r="N122" s="7">
        <f t="shared" si="44"/>
        <v>3318</v>
      </c>
      <c r="O122" s="7">
        <f t="shared" si="44"/>
        <v>3138.0954000000002</v>
      </c>
    </row>
    <row r="123" spans="1:15" ht="15.5" hidden="1" thickTop="1" thickBot="1" x14ac:dyDescent="0.4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 ht="15" hidden="1" thickBot="1" x14ac:dyDescent="0.4">
      <c r="A124" s="36" t="s">
        <v>206</v>
      </c>
      <c r="B124" s="37"/>
      <c r="C124" s="37"/>
      <c r="D124" s="63"/>
      <c r="E124" s="63"/>
      <c r="F124" s="46">
        <v>31516</v>
      </c>
      <c r="G124" s="46">
        <v>31516</v>
      </c>
      <c r="H124" s="46">
        <v>31516</v>
      </c>
      <c r="I124" s="46">
        <v>31516</v>
      </c>
      <c r="J124" s="46">
        <v>31516</v>
      </c>
      <c r="K124" s="46">
        <v>31516</v>
      </c>
      <c r="L124" s="46">
        <v>31516</v>
      </c>
      <c r="M124" s="46">
        <v>31516</v>
      </c>
      <c r="N124" s="46">
        <v>31516</v>
      </c>
      <c r="O124" s="46">
        <v>31516</v>
      </c>
    </row>
    <row r="125" spans="1:15" ht="15.5" thickTop="1" thickBot="1" x14ac:dyDescent="0.4">
      <c r="A125" s="7"/>
      <c r="B125" s="7"/>
      <c r="C125" s="7"/>
      <c r="D125" s="7"/>
      <c r="E125" s="7"/>
      <c r="F125" s="7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ht="15.5" thickTop="1" thickBot="1" x14ac:dyDescent="0.4">
      <c r="A126" s="7" t="s">
        <v>56</v>
      </c>
      <c r="B126" s="7"/>
      <c r="C126" s="7"/>
      <c r="D126" s="7">
        <v>77794</v>
      </c>
      <c r="E126" s="7">
        <v>61338</v>
      </c>
      <c r="F126" s="7">
        <f t="shared" ref="F126:N126" si="45">SUM(F23+F32+F37+F43+F58+F72+F84+F103+F122)</f>
        <v>60903.1</v>
      </c>
      <c r="G126" s="7">
        <f t="shared" si="45"/>
        <v>60779.11</v>
      </c>
      <c r="H126" s="7">
        <f t="shared" si="45"/>
        <v>62720.11</v>
      </c>
      <c r="I126" s="7">
        <f t="shared" si="45"/>
        <v>47497.11</v>
      </c>
      <c r="J126" s="7">
        <f t="shared" si="45"/>
        <v>47582.11</v>
      </c>
      <c r="K126" s="7">
        <f t="shared" si="45"/>
        <v>52914.11</v>
      </c>
      <c r="L126" s="7">
        <f t="shared" si="45"/>
        <v>59327.130000000005</v>
      </c>
      <c r="M126" s="7">
        <f t="shared" si="45"/>
        <v>59335.130000000005</v>
      </c>
      <c r="N126" s="7">
        <f t="shared" si="45"/>
        <v>60442</v>
      </c>
      <c r="O126" s="7">
        <f>SUM(O23+O32+O37+O43+O58+O72+O77+O84+O103+O122)</f>
        <v>61304.545879999991</v>
      </c>
    </row>
    <row r="127" spans="1:15" ht="15" thickTop="1" x14ac:dyDescent="0.35">
      <c r="A127" s="11"/>
      <c r="B127" s="11"/>
      <c r="C127" s="11"/>
      <c r="O127" s="12"/>
    </row>
    <row r="128" spans="1:15" x14ac:dyDescent="0.35">
      <c r="A128" s="67"/>
      <c r="B128" s="67"/>
      <c r="C128" s="67"/>
      <c r="D128" s="68"/>
      <c r="E128" s="68"/>
      <c r="F128" s="68" t="s">
        <v>230</v>
      </c>
      <c r="G128" s="67"/>
      <c r="H128" s="69"/>
      <c r="I128" s="69"/>
      <c r="J128" s="69"/>
      <c r="K128" s="69"/>
      <c r="L128" s="69"/>
      <c r="M128" s="69"/>
      <c r="N128" s="69"/>
      <c r="O128" s="69"/>
    </row>
    <row r="129" spans="1:15" x14ac:dyDescent="0.35">
      <c r="A129" s="47" t="s">
        <v>211</v>
      </c>
      <c r="B129" s="67"/>
      <c r="C129" s="67"/>
      <c r="D129" s="49">
        <f>D132+D133</f>
        <v>51833</v>
      </c>
      <c r="E129" s="53">
        <f>SUM(E133)+E132</f>
        <v>53134</v>
      </c>
      <c r="F129" s="75"/>
      <c r="G129" s="79">
        <f>SUM(G133)+G132</f>
        <v>69192.832800000004</v>
      </c>
      <c r="H129" s="79">
        <f t="shared" ref="H129:K129" si="46">SUM(H133)+H132</f>
        <v>89712.610968000008</v>
      </c>
      <c r="I129" s="79">
        <f t="shared" si="46"/>
        <v>53528.880000000005</v>
      </c>
      <c r="J129" s="79">
        <f t="shared" si="46"/>
        <v>56055.324000000008</v>
      </c>
      <c r="K129" s="79">
        <f t="shared" si="46"/>
        <v>58581.768000000011</v>
      </c>
      <c r="L129" s="79">
        <f>SUM(L133)+L132</f>
        <v>59512.358382960003</v>
      </c>
      <c r="M129" s="79">
        <f>SUM(M133)+M132</f>
        <v>59512.358382960003</v>
      </c>
      <c r="N129" s="79">
        <f>(N134*N130)+N132</f>
        <v>59672.448000000011</v>
      </c>
      <c r="O129" s="79">
        <v>61305</v>
      </c>
    </row>
    <row r="130" spans="1:15" x14ac:dyDescent="0.35">
      <c r="A130" s="48" t="s">
        <v>212</v>
      </c>
      <c r="B130" s="67"/>
      <c r="C130" s="67"/>
      <c r="D130" s="50">
        <v>3496</v>
      </c>
      <c r="E130" s="50">
        <v>3565</v>
      </c>
      <c r="F130" s="76">
        <v>3576</v>
      </c>
      <c r="G130" s="70">
        <v>3576</v>
      </c>
      <c r="H130" s="70">
        <v>3576</v>
      </c>
      <c r="I130" s="70">
        <v>3576</v>
      </c>
      <c r="J130" s="70">
        <v>3576</v>
      </c>
      <c r="K130" s="70">
        <v>3576</v>
      </c>
      <c r="L130" s="70">
        <v>3576</v>
      </c>
      <c r="M130" s="70">
        <v>3576</v>
      </c>
      <c r="N130" s="70">
        <v>3576</v>
      </c>
      <c r="O130" s="70">
        <v>3594</v>
      </c>
    </row>
    <row r="131" spans="1:15" x14ac:dyDescent="0.35">
      <c r="A131" s="48" t="s">
        <v>213</v>
      </c>
      <c r="B131" s="67"/>
      <c r="C131" s="67"/>
      <c r="D131" s="51">
        <f>D129/D130</f>
        <v>14.826372997711671</v>
      </c>
      <c r="E131" s="52">
        <f>E129/E130</f>
        <v>14.904347826086957</v>
      </c>
      <c r="F131" s="77"/>
      <c r="G131" s="68">
        <f>SUM(G129)/G130</f>
        <v>19.349226174496646</v>
      </c>
      <c r="H131" s="68">
        <f t="shared" ref="H131:K131" si="47">SUM(H129)/H130</f>
        <v>25.087419174496645</v>
      </c>
      <c r="I131" s="68">
        <f t="shared" si="47"/>
        <v>14.968926174496646</v>
      </c>
      <c r="J131" s="68">
        <f t="shared" si="47"/>
        <v>15.675426174496646</v>
      </c>
      <c r="K131" s="68">
        <f t="shared" si="47"/>
        <v>16.381926174496648</v>
      </c>
      <c r="L131" s="68">
        <f>SUM(L129)/L130</f>
        <v>16.642158384496646</v>
      </c>
      <c r="M131" s="68">
        <f>SUM(M129)/M130</f>
        <v>16.642158384496646</v>
      </c>
      <c r="N131" s="68">
        <f>SUM(N129)/N130</f>
        <v>16.686926174496648</v>
      </c>
      <c r="O131" s="68">
        <f>SUM(O129)/O130</f>
        <v>17.057595993322202</v>
      </c>
    </row>
    <row r="132" spans="1:15" x14ac:dyDescent="0.35">
      <c r="A132" s="48" t="s">
        <v>214</v>
      </c>
      <c r="B132" s="67"/>
      <c r="C132" s="67"/>
      <c r="D132" s="50">
        <v>2760</v>
      </c>
      <c r="E132" s="50">
        <v>2760</v>
      </c>
      <c r="F132" s="76"/>
      <c r="G132" s="68">
        <v>3000</v>
      </c>
      <c r="H132" s="68">
        <v>3000</v>
      </c>
      <c r="I132" s="68">
        <v>3000</v>
      </c>
      <c r="J132" s="68">
        <v>3000</v>
      </c>
      <c r="K132" s="68">
        <v>3000</v>
      </c>
      <c r="L132" s="79">
        <v>3000</v>
      </c>
      <c r="M132" s="79">
        <v>3000</v>
      </c>
      <c r="N132" s="79">
        <v>3000</v>
      </c>
      <c r="O132" s="79">
        <v>3200</v>
      </c>
    </row>
    <row r="133" spans="1:15" x14ac:dyDescent="0.35">
      <c r="A133" s="47" t="s">
        <v>215</v>
      </c>
      <c r="B133" s="67"/>
      <c r="C133" s="67"/>
      <c r="D133" s="53">
        <v>49073</v>
      </c>
      <c r="E133" s="53">
        <f>SUM(E10)</f>
        <v>50374</v>
      </c>
      <c r="F133" s="75">
        <f>SUM(F134)*F130</f>
        <v>50528.880000000005</v>
      </c>
      <c r="G133" s="79">
        <f>SUM(F133)*1.31</f>
        <v>66192.832800000004</v>
      </c>
      <c r="H133" s="79">
        <f t="shared" ref="H133" si="48">SUM(G133)*1.31</f>
        <v>86712.610968000008</v>
      </c>
      <c r="I133" s="79">
        <f>SUM(F133)*1</f>
        <v>50528.880000000005</v>
      </c>
      <c r="J133" s="79">
        <f>SUM(F133)*1.05</f>
        <v>53055.324000000008</v>
      </c>
      <c r="K133" s="79">
        <f>SUM(F133)*1.1</f>
        <v>55581.768000000011</v>
      </c>
      <c r="L133" s="79">
        <f>SUM(F133)*1.118417</f>
        <v>56512.358382960003</v>
      </c>
      <c r="M133" s="79">
        <f>SUM(F133)*1.118417</f>
        <v>56512.358382960003</v>
      </c>
      <c r="N133" s="79">
        <f>N129-N132</f>
        <v>56672.448000000011</v>
      </c>
      <c r="O133" s="79">
        <f>O129-O132</f>
        <v>58105</v>
      </c>
    </row>
    <row r="134" spans="1:15" x14ac:dyDescent="0.35">
      <c r="A134" s="47" t="s">
        <v>216</v>
      </c>
      <c r="B134" s="67"/>
      <c r="C134" s="67"/>
      <c r="D134" s="54">
        <v>14.15</v>
      </c>
      <c r="E134" s="54">
        <f>SUM(E133)/E130</f>
        <v>14.130154277699861</v>
      </c>
      <c r="F134" s="78">
        <v>14.13</v>
      </c>
      <c r="G134" s="68">
        <f>SUM(G133)/G130</f>
        <v>18.510300000000001</v>
      </c>
      <c r="H134" s="68">
        <v>17.16</v>
      </c>
      <c r="I134" s="95">
        <v>14.15</v>
      </c>
      <c r="J134" s="68">
        <f>SUM(J133)/J130</f>
        <v>14.836500000000003</v>
      </c>
      <c r="K134" s="68">
        <f>SUM(K133)/K130</f>
        <v>15.543000000000003</v>
      </c>
      <c r="L134" s="68">
        <f t="shared" ref="L134:M134" si="49">SUM(L133)/L130</f>
        <v>15.803232210000001</v>
      </c>
      <c r="M134" s="68">
        <f t="shared" si="49"/>
        <v>15.803232210000001</v>
      </c>
      <c r="N134" s="93">
        <f>I134*1.12</f>
        <v>15.848000000000003</v>
      </c>
      <c r="O134" s="93">
        <f>O133/O130</f>
        <v>16.167223149693935</v>
      </c>
    </row>
    <row r="135" spans="1:15" x14ac:dyDescent="0.35">
      <c r="A135" s="47" t="s">
        <v>236</v>
      </c>
      <c r="B135" s="67"/>
      <c r="C135" s="67"/>
      <c r="D135" s="54"/>
      <c r="E135" s="54" t="s">
        <v>223</v>
      </c>
      <c r="F135" s="68"/>
      <c r="G135" s="71" t="s">
        <v>227</v>
      </c>
      <c r="H135" s="71"/>
      <c r="I135" s="71" t="s">
        <v>224</v>
      </c>
      <c r="J135" s="71" t="s">
        <v>225</v>
      </c>
      <c r="K135" s="71" t="s">
        <v>226</v>
      </c>
      <c r="L135" s="81" t="s">
        <v>232</v>
      </c>
      <c r="M135" s="81" t="s">
        <v>232</v>
      </c>
      <c r="N135" s="81" t="s">
        <v>232</v>
      </c>
      <c r="O135" s="98" t="s">
        <v>260</v>
      </c>
    </row>
    <row r="136" spans="1:15" x14ac:dyDescent="0.35">
      <c r="A136" s="92" t="s">
        <v>237</v>
      </c>
      <c r="B136" s="67"/>
      <c r="C136" s="67"/>
      <c r="D136" s="68"/>
      <c r="E136" s="68"/>
      <c r="F136" s="68"/>
      <c r="G136" s="68"/>
      <c r="H136" s="72"/>
      <c r="I136" s="72">
        <v>0</v>
      </c>
      <c r="J136" s="94">
        <f>J134/I134</f>
        <v>1.0485159010600709</v>
      </c>
      <c r="K136" s="94">
        <f>K134/I134</f>
        <v>1.0984452296819789</v>
      </c>
      <c r="L136" s="94">
        <f>L134/I134</f>
        <v>1.1168361985865725</v>
      </c>
      <c r="M136" s="94">
        <f>M134/I134</f>
        <v>1.1168361985865725</v>
      </c>
      <c r="N136" s="94">
        <f>N134/I134</f>
        <v>1.1200000000000001</v>
      </c>
      <c r="O136" s="94">
        <f>O134/N134</f>
        <v>1.0201428034890165</v>
      </c>
    </row>
    <row r="137" spans="1:15" hidden="1" x14ac:dyDescent="0.35">
      <c r="A137" t="s">
        <v>218</v>
      </c>
      <c r="D137" s="11"/>
      <c r="E137" s="11">
        <f>SUM(E126)</f>
        <v>61338</v>
      </c>
      <c r="F137" s="11"/>
      <c r="G137"/>
      <c r="H137"/>
      <c r="I137"/>
      <c r="J137"/>
      <c r="K137"/>
      <c r="L137"/>
      <c r="M137"/>
      <c r="N137"/>
    </row>
    <row r="138" spans="1:15" ht="15" hidden="1" thickBot="1" x14ac:dyDescent="0.4">
      <c r="A138" t="s">
        <v>219</v>
      </c>
      <c r="E138" s="7">
        <f>SUM(E16)</f>
        <v>53488</v>
      </c>
      <c r="G138"/>
      <c r="H138"/>
      <c r="I138"/>
      <c r="J138"/>
      <c r="K138"/>
      <c r="L138"/>
      <c r="M138"/>
      <c r="N138" s="5"/>
      <c r="O138" s="5"/>
    </row>
    <row r="139" spans="1:15" ht="15" hidden="1" thickTop="1" x14ac:dyDescent="0.35">
      <c r="A139" t="s">
        <v>217</v>
      </c>
      <c r="E139" s="2">
        <f>SUM(E138)-E137</f>
        <v>-7850</v>
      </c>
      <c r="O139" s="12"/>
    </row>
    <row r="140" spans="1:15" x14ac:dyDescent="0.35">
      <c r="E140" s="2" t="s">
        <v>222</v>
      </c>
      <c r="O140" s="12"/>
    </row>
    <row r="141" spans="1:15" hidden="1" x14ac:dyDescent="0.35">
      <c r="A141" s="74" t="s">
        <v>229</v>
      </c>
      <c r="O141" s="12"/>
    </row>
    <row r="142" spans="1:15" hidden="1" x14ac:dyDescent="0.35">
      <c r="A142" s="67"/>
      <c r="B142" s="67"/>
      <c r="C142" s="67"/>
      <c r="D142" s="68"/>
      <c r="E142" s="68"/>
      <c r="F142" s="68"/>
      <c r="G142" s="67"/>
      <c r="H142" s="69"/>
      <c r="I142" s="69"/>
      <c r="J142" s="69"/>
      <c r="K142" s="69"/>
      <c r="L142"/>
      <c r="M142"/>
      <c r="N142"/>
    </row>
    <row r="143" spans="1:15" hidden="1" x14ac:dyDescent="0.35">
      <c r="A143" s="47" t="s">
        <v>211</v>
      </c>
      <c r="B143" s="67"/>
      <c r="C143" s="67"/>
      <c r="D143" s="79">
        <f>SUM(D147)+D146</f>
        <v>59087.056800000013</v>
      </c>
      <c r="E143" s="79">
        <f>SUM(E147)+E146</f>
        <v>59592.345600000008</v>
      </c>
      <c r="F143" s="79">
        <f>SUM(F147)+F146</f>
        <v>60097.634400000003</v>
      </c>
      <c r="G143" s="79">
        <f>SUM(G147)+G146</f>
        <v>61108.212</v>
      </c>
      <c r="H143" s="79">
        <f t="shared" ref="H143" si="50">SUM(H147)+H146</f>
        <v>64364.160000000003</v>
      </c>
      <c r="I143" s="79">
        <f>SUM(I147)+I146</f>
        <v>62624.078400000006</v>
      </c>
      <c r="J143" s="79">
        <f>SUM(J147)+J146</f>
        <v>63634.656000000003</v>
      </c>
      <c r="K143" s="79">
        <f>SUM(K147)+K146</f>
        <v>66161.100000000006</v>
      </c>
      <c r="L143"/>
      <c r="M143"/>
      <c r="N143"/>
    </row>
    <row r="144" spans="1:15" hidden="1" x14ac:dyDescent="0.35">
      <c r="A144" s="48" t="s">
        <v>212</v>
      </c>
      <c r="B144" s="67"/>
      <c r="C144" s="67"/>
      <c r="D144" s="70">
        <v>3576</v>
      </c>
      <c r="E144" s="70">
        <v>3576</v>
      </c>
      <c r="F144" s="70">
        <v>3576</v>
      </c>
      <c r="G144" s="70">
        <v>3576</v>
      </c>
      <c r="H144" s="70">
        <v>3576</v>
      </c>
      <c r="I144" s="70">
        <v>3576</v>
      </c>
      <c r="J144" s="70">
        <v>3576</v>
      </c>
      <c r="K144" s="70">
        <v>3576</v>
      </c>
      <c r="L144"/>
      <c r="M144"/>
      <c r="N144"/>
    </row>
    <row r="145" spans="1:15" hidden="1" x14ac:dyDescent="0.35">
      <c r="A145" s="48" t="s">
        <v>213</v>
      </c>
      <c r="B145" s="67"/>
      <c r="C145" s="67"/>
      <c r="D145" s="68">
        <f>SUM(D143)/D144</f>
        <v>16.523226174496649</v>
      </c>
      <c r="E145" s="68">
        <f>SUM(E143)/E144</f>
        <v>16.664526174496647</v>
      </c>
      <c r="F145" s="68">
        <f>SUM(F143)/F144</f>
        <v>16.805826174496644</v>
      </c>
      <c r="G145" s="68">
        <f>SUM(G143)/G144</f>
        <v>17.088426174496643</v>
      </c>
      <c r="H145" s="68">
        <f t="shared" ref="H145" si="51">SUM(H143)/H144</f>
        <v>17.998926174496646</v>
      </c>
      <c r="I145" s="68">
        <f>SUM(I143)/I144</f>
        <v>17.512326174496646</v>
      </c>
      <c r="J145" s="68">
        <f>SUM(J143)/J144</f>
        <v>17.794926174496645</v>
      </c>
      <c r="K145" s="68">
        <f>SUM(K143)/K144</f>
        <v>18.501426174496647</v>
      </c>
      <c r="L145"/>
      <c r="M145"/>
      <c r="N145"/>
    </row>
    <row r="146" spans="1:15" hidden="1" x14ac:dyDescent="0.35">
      <c r="A146" s="48" t="s">
        <v>214</v>
      </c>
      <c r="B146" s="67"/>
      <c r="C146" s="67"/>
      <c r="D146" s="79">
        <v>3000</v>
      </c>
      <c r="E146" s="79">
        <v>3000</v>
      </c>
      <c r="F146" s="79">
        <v>3000</v>
      </c>
      <c r="G146" s="79">
        <v>3000</v>
      </c>
      <c r="H146" s="79">
        <v>3000</v>
      </c>
      <c r="I146" s="79">
        <v>3000</v>
      </c>
      <c r="J146" s="79">
        <v>3000</v>
      </c>
      <c r="K146" s="79">
        <v>3000</v>
      </c>
      <c r="L146"/>
      <c r="M146"/>
      <c r="N146"/>
    </row>
    <row r="147" spans="1:15" hidden="1" x14ac:dyDescent="0.35">
      <c r="A147" s="47" t="s">
        <v>215</v>
      </c>
      <c r="B147" s="67"/>
      <c r="C147" s="67"/>
      <c r="D147" s="79">
        <f>SUM(F133)*1.11</f>
        <v>56087.056800000013</v>
      </c>
      <c r="E147" s="79">
        <f>SUM(F133)*1.12</f>
        <v>56592.345600000008</v>
      </c>
      <c r="F147" s="79">
        <f>SUM(F133)*1.13</f>
        <v>57097.634400000003</v>
      </c>
      <c r="G147" s="79">
        <f>SUM(F133)*1.15</f>
        <v>58108.212</v>
      </c>
      <c r="H147" s="79">
        <f t="shared" ref="H147" si="52">SUM(H144)*H148</f>
        <v>61364.160000000003</v>
      </c>
      <c r="I147" s="79">
        <f>SUM(F133)*1.18</f>
        <v>59624.078400000006</v>
      </c>
      <c r="J147" s="79">
        <f>SUM(F133)*1.2</f>
        <v>60634.656000000003</v>
      </c>
      <c r="K147" s="79">
        <f>SUM(F133)*1.25</f>
        <v>63161.100000000006</v>
      </c>
      <c r="L147"/>
      <c r="M147"/>
      <c r="N147"/>
    </row>
    <row r="148" spans="1:15" hidden="1" x14ac:dyDescent="0.35">
      <c r="A148" s="47" t="s">
        <v>216</v>
      </c>
      <c r="B148" s="67"/>
      <c r="C148" s="67"/>
      <c r="D148" s="68">
        <f>SUM(D147)/D144</f>
        <v>15.684300000000004</v>
      </c>
      <c r="E148" s="68">
        <f>SUM(E147)/E144</f>
        <v>15.825600000000001</v>
      </c>
      <c r="F148" s="68">
        <f>SUM(F147)/F144</f>
        <v>15.966900000000001</v>
      </c>
      <c r="G148" s="68">
        <f>SUM(G147)/G144</f>
        <v>16.249500000000001</v>
      </c>
      <c r="H148" s="68">
        <f t="shared" ref="H148" si="53">SUM(((H149)/100)*H134)+H134</f>
        <v>17.16</v>
      </c>
      <c r="I148" s="68">
        <f>SUM(I147)/I144</f>
        <v>16.673400000000001</v>
      </c>
      <c r="J148" s="68">
        <f>SUM(J147)/J144</f>
        <v>16.956</v>
      </c>
      <c r="K148" s="68">
        <f>SUM(K147)/K144</f>
        <v>17.662500000000001</v>
      </c>
      <c r="L148"/>
      <c r="M148"/>
      <c r="N148"/>
      <c r="O148" t="s">
        <v>159</v>
      </c>
    </row>
    <row r="149" spans="1:15" hidden="1" x14ac:dyDescent="0.35">
      <c r="A149" s="47" t="s">
        <v>228</v>
      </c>
      <c r="B149" s="67"/>
      <c r="C149" s="67"/>
      <c r="D149" s="81">
        <v>11</v>
      </c>
      <c r="E149" s="81">
        <v>12</v>
      </c>
      <c r="F149" s="81">
        <v>13</v>
      </c>
      <c r="G149" s="81">
        <v>15</v>
      </c>
      <c r="H149" s="81"/>
      <c r="I149" s="81">
        <v>18</v>
      </c>
      <c r="J149" s="81">
        <v>20</v>
      </c>
      <c r="K149" s="81">
        <v>25</v>
      </c>
      <c r="L149"/>
      <c r="M149"/>
      <c r="N149"/>
    </row>
    <row r="150" spans="1:15" hidden="1" x14ac:dyDescent="0.35">
      <c r="A150" s="67" t="s">
        <v>231</v>
      </c>
      <c r="B150" s="67"/>
      <c r="C150" s="67"/>
      <c r="D150" s="80">
        <f>SUM(D148)</f>
        <v>15.684300000000004</v>
      </c>
      <c r="E150" s="80">
        <f t="shared" ref="E150:K150" si="54">SUM(E148)</f>
        <v>15.825600000000001</v>
      </c>
      <c r="F150" s="80">
        <f t="shared" si="54"/>
        <v>15.966900000000001</v>
      </c>
      <c r="G150" s="80">
        <f t="shared" si="54"/>
        <v>16.249500000000001</v>
      </c>
      <c r="H150" s="80">
        <f t="shared" si="54"/>
        <v>17.16</v>
      </c>
      <c r="I150" s="80">
        <f t="shared" si="54"/>
        <v>16.673400000000001</v>
      </c>
      <c r="J150" s="80">
        <f t="shared" si="54"/>
        <v>16.956</v>
      </c>
      <c r="K150" s="80">
        <f t="shared" si="54"/>
        <v>17.662500000000001</v>
      </c>
      <c r="L150"/>
      <c r="M150"/>
      <c r="N150"/>
    </row>
    <row r="151" spans="1:15" x14ac:dyDescent="0.35">
      <c r="O151" s="12"/>
    </row>
    <row r="152" spans="1:15" x14ac:dyDescent="0.35">
      <c r="O152" s="12"/>
    </row>
    <row r="153" spans="1:15" x14ac:dyDescent="0.35">
      <c r="O153" s="12"/>
    </row>
    <row r="154" spans="1:15" x14ac:dyDescent="0.35">
      <c r="O154" s="12"/>
    </row>
    <row r="155" spans="1:15" x14ac:dyDescent="0.35">
      <c r="O155" s="12"/>
    </row>
    <row r="156" spans="1:15" x14ac:dyDescent="0.35">
      <c r="O156" s="12"/>
    </row>
    <row r="157" spans="1:15" x14ac:dyDescent="0.35">
      <c r="O157" s="12"/>
    </row>
    <row r="158" spans="1:15" x14ac:dyDescent="0.35">
      <c r="O158" s="12"/>
    </row>
    <row r="159" spans="1:15" x14ac:dyDescent="0.35">
      <c r="O159" s="12"/>
    </row>
    <row r="160" spans="1:15" x14ac:dyDescent="0.35">
      <c r="O160" s="12"/>
    </row>
    <row r="161" spans="15:15" x14ac:dyDescent="0.35">
      <c r="O161" s="12"/>
    </row>
    <row r="162" spans="15:15" x14ac:dyDescent="0.35">
      <c r="O162" s="12"/>
    </row>
    <row r="163" spans="15:15" x14ac:dyDescent="0.35">
      <c r="O163" s="12"/>
    </row>
    <row r="164" spans="15:15" x14ac:dyDescent="0.35">
      <c r="O164" s="12"/>
    </row>
    <row r="165" spans="15:15" x14ac:dyDescent="0.35">
      <c r="O165" s="12"/>
    </row>
    <row r="166" spans="15:15" x14ac:dyDescent="0.35">
      <c r="O166" s="12"/>
    </row>
    <row r="167" spans="15:15" x14ac:dyDescent="0.35">
      <c r="O167" s="12"/>
    </row>
    <row r="168" spans="15:15" x14ac:dyDescent="0.35">
      <c r="O168" s="12"/>
    </row>
    <row r="169" spans="15:15" x14ac:dyDescent="0.35">
      <c r="O169" s="12"/>
    </row>
    <row r="170" spans="15:15" x14ac:dyDescent="0.35">
      <c r="O170" s="12"/>
    </row>
    <row r="171" spans="15:15" x14ac:dyDescent="0.35">
      <c r="O171" s="12"/>
    </row>
    <row r="172" spans="15:15" x14ac:dyDescent="0.35">
      <c r="O172" s="12"/>
    </row>
    <row r="173" spans="15:15" x14ac:dyDescent="0.35">
      <c r="O173" s="12"/>
    </row>
    <row r="174" spans="15:15" x14ac:dyDescent="0.35">
      <c r="O174" s="12"/>
    </row>
    <row r="175" spans="15:15" x14ac:dyDescent="0.35">
      <c r="O175" s="12"/>
    </row>
    <row r="176" spans="15:15" x14ac:dyDescent="0.35">
      <c r="O176" s="12"/>
    </row>
    <row r="177" spans="15:15" x14ac:dyDescent="0.35">
      <c r="O177" s="12"/>
    </row>
    <row r="178" spans="15:15" x14ac:dyDescent="0.35">
      <c r="O178" s="12"/>
    </row>
    <row r="179" spans="15:15" x14ac:dyDescent="0.35">
      <c r="O179" s="12"/>
    </row>
    <row r="180" spans="15:15" x14ac:dyDescent="0.35">
      <c r="O180" s="12"/>
    </row>
    <row r="181" spans="15:15" x14ac:dyDescent="0.35">
      <c r="O181" s="12"/>
    </row>
    <row r="182" spans="15:15" x14ac:dyDescent="0.35">
      <c r="O182" s="12"/>
    </row>
    <row r="183" spans="15:15" x14ac:dyDescent="0.35">
      <c r="O183" s="12"/>
    </row>
    <row r="184" spans="15:15" x14ac:dyDescent="0.35">
      <c r="O184" s="12"/>
    </row>
    <row r="185" spans="15:15" x14ac:dyDescent="0.35">
      <c r="O185" s="12"/>
    </row>
    <row r="186" spans="15:15" x14ac:dyDescent="0.35">
      <c r="O186" s="12"/>
    </row>
  </sheetData>
  <phoneticPr fontId="3" type="noConversion"/>
  <pageMargins left="0.7" right="0.7" top="0.75" bottom="0.75" header="0.3" footer="0.3"/>
  <pageSetup paperSize="9" orientation="landscape" r:id="rId1"/>
  <ignoredErrors>
    <ignoredError sqref="I14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22D9-386D-46D2-8AE7-2B6EC0097F07}">
  <dimension ref="A3:E55"/>
  <sheetViews>
    <sheetView topLeftCell="A43" workbookViewId="0">
      <selection activeCell="D56" sqref="D56"/>
    </sheetView>
  </sheetViews>
  <sheetFormatPr defaultRowHeight="14.5" x14ac:dyDescent="0.35"/>
  <cols>
    <col min="1" max="1" width="37.08984375" customWidth="1"/>
    <col min="2" max="2" width="15" style="2" customWidth="1"/>
    <col min="3" max="3" width="14.1796875" style="2" customWidth="1"/>
    <col min="4" max="4" width="15.1796875" style="2" customWidth="1"/>
    <col min="5" max="5" width="14.54296875" customWidth="1"/>
  </cols>
  <sheetData>
    <row r="3" spans="1:5" x14ac:dyDescent="0.35">
      <c r="B3" s="4" t="s">
        <v>64</v>
      </c>
      <c r="C3" s="4" t="s">
        <v>65</v>
      </c>
      <c r="D3" s="4" t="s">
        <v>66</v>
      </c>
      <c r="E3" s="4" t="s">
        <v>63</v>
      </c>
    </row>
    <row r="5" spans="1:5" x14ac:dyDescent="0.35">
      <c r="A5" s="1" t="s">
        <v>43</v>
      </c>
    </row>
    <row r="6" spans="1:5" x14ac:dyDescent="0.35">
      <c r="A6" t="s">
        <v>40</v>
      </c>
      <c r="B6" s="2">
        <v>49073</v>
      </c>
      <c r="C6" s="2">
        <v>50445</v>
      </c>
      <c r="D6" s="2">
        <v>50445</v>
      </c>
    </row>
    <row r="7" spans="1:5" x14ac:dyDescent="0.35">
      <c r="A7" t="s">
        <v>41</v>
      </c>
      <c r="B7" s="2">
        <v>2760</v>
      </c>
      <c r="C7" s="2">
        <v>2800</v>
      </c>
      <c r="D7" s="2">
        <v>3000</v>
      </c>
    </row>
    <row r="8" spans="1:5" x14ac:dyDescent="0.35">
      <c r="A8" t="s">
        <v>42</v>
      </c>
      <c r="B8" s="2">
        <v>207</v>
      </c>
      <c r="C8" s="2">
        <v>325</v>
      </c>
      <c r="D8" s="2">
        <v>0</v>
      </c>
    </row>
    <row r="9" spans="1:5" x14ac:dyDescent="0.35">
      <c r="A9" t="s">
        <v>47</v>
      </c>
      <c r="B9" s="3">
        <f>SUM(B6:B8)</f>
        <v>52040</v>
      </c>
      <c r="C9" s="3">
        <f>SUM(C6:C8)</f>
        <v>53570</v>
      </c>
      <c r="D9" s="3">
        <f>SUM(D6:D8)</f>
        <v>53445</v>
      </c>
      <c r="E9" s="3">
        <f>SUM(E6:E8)</f>
        <v>0</v>
      </c>
    </row>
    <row r="10" spans="1:5" x14ac:dyDescent="0.35">
      <c r="B10" s="11"/>
      <c r="C10" s="11"/>
      <c r="D10" s="11"/>
      <c r="E10" s="11"/>
    </row>
    <row r="11" spans="1:5" x14ac:dyDescent="0.35">
      <c r="A11" s="1" t="s">
        <v>44</v>
      </c>
    </row>
    <row r="12" spans="1:5" x14ac:dyDescent="0.35">
      <c r="A12" t="s">
        <v>45</v>
      </c>
      <c r="B12" s="2">
        <v>20845</v>
      </c>
      <c r="C12" s="2">
        <v>0</v>
      </c>
    </row>
    <row r="13" spans="1:5" ht="15" thickBot="1" x14ac:dyDescent="0.4">
      <c r="A13" t="s">
        <v>46</v>
      </c>
      <c r="B13" s="7">
        <v>4151</v>
      </c>
      <c r="C13" s="7">
        <v>1384</v>
      </c>
      <c r="D13" s="7"/>
      <c r="E13" s="7"/>
    </row>
    <row r="14" spans="1:5" ht="15.5" thickTop="1" thickBot="1" x14ac:dyDescent="0.4">
      <c r="A14" t="s">
        <v>48</v>
      </c>
      <c r="B14" s="7">
        <f t="shared" ref="B14:E14" si="0">SUM(B12:B13)</f>
        <v>24996</v>
      </c>
      <c r="C14" s="7">
        <f t="shared" si="0"/>
        <v>1384</v>
      </c>
      <c r="D14" s="7">
        <f t="shared" si="0"/>
        <v>0</v>
      </c>
      <c r="E14" s="7">
        <f t="shared" si="0"/>
        <v>0</v>
      </c>
    </row>
    <row r="15" spans="1:5" ht="15" thickTop="1" x14ac:dyDescent="0.35"/>
    <row r="16" spans="1:5" x14ac:dyDescent="0.35">
      <c r="A16" s="1" t="s">
        <v>49</v>
      </c>
    </row>
    <row r="17" spans="1:5" x14ac:dyDescent="0.35">
      <c r="A17" t="s">
        <v>50</v>
      </c>
      <c r="B17" s="2">
        <v>27089</v>
      </c>
      <c r="C17" s="2">
        <v>34187</v>
      </c>
    </row>
    <row r="18" spans="1:5" x14ac:dyDescent="0.35">
      <c r="A18" t="s">
        <v>51</v>
      </c>
      <c r="B18" s="2">
        <v>61431</v>
      </c>
      <c r="C18" s="2">
        <v>23523</v>
      </c>
    </row>
    <row r="19" spans="1:5" x14ac:dyDescent="0.35">
      <c r="A19" t="s">
        <v>52</v>
      </c>
      <c r="B19" s="2">
        <v>3167</v>
      </c>
      <c r="C19" s="2">
        <v>2939</v>
      </c>
    </row>
    <row r="20" spans="1:5" x14ac:dyDescent="0.35">
      <c r="A20" t="s">
        <v>53</v>
      </c>
      <c r="B20" s="2">
        <v>75</v>
      </c>
      <c r="C20" s="2">
        <v>289</v>
      </c>
    </row>
    <row r="21" spans="1:5" x14ac:dyDescent="0.35">
      <c r="A21" t="s">
        <v>46</v>
      </c>
      <c r="B21" s="2">
        <v>8252</v>
      </c>
      <c r="C21" s="2">
        <v>7923</v>
      </c>
    </row>
    <row r="22" spans="1:5" x14ac:dyDescent="0.35">
      <c r="A22" t="s">
        <v>54</v>
      </c>
      <c r="B22" s="2">
        <v>0</v>
      </c>
      <c r="C22" s="2">
        <v>2265</v>
      </c>
    </row>
    <row r="23" spans="1:5" ht="15" thickBot="1" x14ac:dyDescent="0.4">
      <c r="A23" t="s">
        <v>55</v>
      </c>
      <c r="B23" s="7">
        <v>4570</v>
      </c>
      <c r="C23" s="7">
        <v>5450</v>
      </c>
      <c r="D23" s="7"/>
      <c r="E23" s="8"/>
    </row>
    <row r="24" spans="1:5" ht="15.5" thickTop="1" thickBot="1" x14ac:dyDescent="0.4">
      <c r="A24" t="s">
        <v>56</v>
      </c>
      <c r="B24" s="7">
        <f>SUM(B17:B23)</f>
        <v>104584</v>
      </c>
      <c r="C24" s="7">
        <f t="shared" ref="C24:E24" si="1">SUM(C17:C23)</f>
        <v>76576</v>
      </c>
      <c r="D24" s="7">
        <f t="shared" si="1"/>
        <v>0</v>
      </c>
      <c r="E24" s="7">
        <f t="shared" si="1"/>
        <v>0</v>
      </c>
    </row>
    <row r="25" spans="1:5" ht="15" thickTop="1" x14ac:dyDescent="0.35"/>
    <row r="26" spans="1:5" x14ac:dyDescent="0.35">
      <c r="A26" s="1" t="s">
        <v>57</v>
      </c>
    </row>
    <row r="27" spans="1:5" x14ac:dyDescent="0.35">
      <c r="A27" t="s">
        <v>58</v>
      </c>
      <c r="B27" s="2">
        <v>48950</v>
      </c>
      <c r="C27" s="2">
        <f>SUM(B33)</f>
        <v>33562</v>
      </c>
      <c r="D27" s="2">
        <f>SUM(C33)</f>
        <v>31515</v>
      </c>
      <c r="E27" s="5">
        <f>SUM(D33)</f>
        <v>31515</v>
      </c>
    </row>
    <row r="28" spans="1:5" x14ac:dyDescent="0.35">
      <c r="A28" t="s">
        <v>59</v>
      </c>
      <c r="B28" s="2">
        <v>77036</v>
      </c>
      <c r="C28" s="2">
        <v>54953</v>
      </c>
    </row>
    <row r="29" spans="1:5" x14ac:dyDescent="0.35">
      <c r="B29" s="2">
        <f>SUM(B27:B28)</f>
        <v>125986</v>
      </c>
      <c r="C29" s="2">
        <f t="shared" ref="C29:E29" si="2">SUM(C27:C28)</f>
        <v>88515</v>
      </c>
      <c r="D29" s="2">
        <f t="shared" si="2"/>
        <v>31515</v>
      </c>
      <c r="E29" s="2">
        <f t="shared" si="2"/>
        <v>31515</v>
      </c>
    </row>
    <row r="30" spans="1:5" x14ac:dyDescent="0.35">
      <c r="A30" t="s">
        <v>60</v>
      </c>
      <c r="B30" s="2">
        <v>104584</v>
      </c>
      <c r="C30" s="2">
        <v>76575</v>
      </c>
    </row>
    <row r="31" spans="1:5" x14ac:dyDescent="0.35">
      <c r="B31" s="2">
        <f>SUM(B29)-B30</f>
        <v>21402</v>
      </c>
      <c r="C31" s="2">
        <f t="shared" ref="C31:E31" si="3">SUM(C29)-C30</f>
        <v>11940</v>
      </c>
      <c r="D31" s="2">
        <f t="shared" si="3"/>
        <v>31515</v>
      </c>
      <c r="E31" s="2">
        <f t="shared" si="3"/>
        <v>31515</v>
      </c>
    </row>
    <row r="32" spans="1:5" ht="15" thickBot="1" x14ac:dyDescent="0.4">
      <c r="A32" t="s">
        <v>61</v>
      </c>
      <c r="B32" s="7">
        <v>-12160</v>
      </c>
      <c r="C32" s="7">
        <v>-19575</v>
      </c>
      <c r="D32" s="7"/>
      <c r="E32" s="8"/>
    </row>
    <row r="33" spans="1:5" ht="15.5" thickTop="1" thickBot="1" x14ac:dyDescent="0.4">
      <c r="A33" t="s">
        <v>62</v>
      </c>
      <c r="B33" s="7">
        <f>SUM(B31)-B32</f>
        <v>33562</v>
      </c>
      <c r="C33" s="7">
        <f t="shared" ref="C33:E33" si="4">SUM(C31)-C32</f>
        <v>31515</v>
      </c>
      <c r="D33" s="7">
        <f t="shared" si="4"/>
        <v>31515</v>
      </c>
      <c r="E33" s="7">
        <f t="shared" si="4"/>
        <v>31515</v>
      </c>
    </row>
    <row r="34" spans="1:5" ht="15" thickTop="1" x14ac:dyDescent="0.35"/>
    <row r="36" spans="1:5" x14ac:dyDescent="0.35">
      <c r="A36" s="1" t="s">
        <v>67</v>
      </c>
    </row>
    <row r="37" spans="1:5" x14ac:dyDescent="0.35">
      <c r="A37" t="s">
        <v>68</v>
      </c>
      <c r="B37" s="3">
        <v>81968.83</v>
      </c>
      <c r="C37" s="3">
        <v>60347.02</v>
      </c>
      <c r="D37" s="3"/>
      <c r="E37" s="3"/>
    </row>
    <row r="38" spans="1:5" x14ac:dyDescent="0.35">
      <c r="A38" t="s">
        <v>69</v>
      </c>
      <c r="B38" s="2">
        <v>1722.72</v>
      </c>
      <c r="C38" s="2">
        <v>1578.71</v>
      </c>
    </row>
    <row r="39" spans="1:5" x14ac:dyDescent="0.35">
      <c r="A39" t="s">
        <v>70</v>
      </c>
      <c r="B39" s="3">
        <f>SUM(B38)</f>
        <v>1722.72</v>
      </c>
      <c r="C39" s="3">
        <f t="shared" ref="C39:E39" si="5">SUM(C38)</f>
        <v>1578.71</v>
      </c>
      <c r="D39" s="3">
        <f t="shared" si="5"/>
        <v>0</v>
      </c>
      <c r="E39" s="3">
        <f t="shared" si="5"/>
        <v>0</v>
      </c>
    </row>
    <row r="40" spans="1:5" x14ac:dyDescent="0.35">
      <c r="A40" t="s">
        <v>71</v>
      </c>
      <c r="B40" s="2">
        <v>402.18</v>
      </c>
      <c r="C40" s="2">
        <v>87.25</v>
      </c>
    </row>
    <row r="41" spans="1:5" ht="15" thickBot="1" x14ac:dyDescent="0.4">
      <c r="A41" t="s">
        <v>73</v>
      </c>
      <c r="B41" s="6">
        <f>SUM(B40)</f>
        <v>402.18</v>
      </c>
      <c r="C41" s="6">
        <f t="shared" ref="C41:E41" si="6">SUM(C40)</f>
        <v>87.25</v>
      </c>
      <c r="D41" s="6">
        <f t="shared" si="6"/>
        <v>0</v>
      </c>
      <c r="E41" s="6">
        <f t="shared" si="6"/>
        <v>0</v>
      </c>
    </row>
    <row r="42" spans="1:5" ht="15.5" thickTop="1" thickBot="1" x14ac:dyDescent="0.4">
      <c r="A42" t="s">
        <v>72</v>
      </c>
      <c r="B42" s="7">
        <f>SUM(B37)-B39+B41</f>
        <v>80648.289999999994</v>
      </c>
      <c r="C42" s="7">
        <f t="shared" ref="C42:E42" si="7">SUM(C37)-C39+C41</f>
        <v>58855.56</v>
      </c>
      <c r="D42" s="7">
        <f t="shared" si="7"/>
        <v>0</v>
      </c>
      <c r="E42" s="7">
        <f t="shared" si="7"/>
        <v>0</v>
      </c>
    </row>
    <row r="43" spans="1:5" ht="15" thickTop="1" x14ac:dyDescent="0.35"/>
    <row r="44" spans="1:5" x14ac:dyDescent="0.35">
      <c r="A44" t="s">
        <v>74</v>
      </c>
      <c r="B44" s="2">
        <v>55.43</v>
      </c>
      <c r="C44" s="2">
        <v>55.43</v>
      </c>
    </row>
    <row r="45" spans="1:5" x14ac:dyDescent="0.35">
      <c r="A45" t="s">
        <v>75</v>
      </c>
      <c r="B45" s="2">
        <v>51952.480000000003</v>
      </c>
      <c r="C45" s="2">
        <v>42252.37</v>
      </c>
    </row>
    <row r="46" spans="1:5" ht="15" thickBot="1" x14ac:dyDescent="0.4">
      <c r="A46" t="s">
        <v>76</v>
      </c>
      <c r="B46" s="7">
        <v>28640.38</v>
      </c>
      <c r="C46" s="7">
        <v>16547.759999999998</v>
      </c>
      <c r="D46" s="7"/>
      <c r="E46" s="8"/>
    </row>
    <row r="47" spans="1:5" ht="15.5" thickTop="1" thickBot="1" x14ac:dyDescent="0.4">
      <c r="A47" t="s">
        <v>99</v>
      </c>
      <c r="B47" s="7">
        <f>SUM(B44:B46)</f>
        <v>80648.290000000008</v>
      </c>
      <c r="C47" s="7">
        <f t="shared" ref="C47:E47" si="8">SUM(C44:C46)</f>
        <v>58855.56</v>
      </c>
      <c r="D47" s="7">
        <f t="shared" si="8"/>
        <v>0</v>
      </c>
      <c r="E47" s="7">
        <f t="shared" si="8"/>
        <v>0</v>
      </c>
    </row>
    <row r="48" spans="1:5" ht="15" thickTop="1" x14ac:dyDescent="0.35"/>
    <row r="50" spans="1:2" x14ac:dyDescent="0.35">
      <c r="A50" s="1" t="s">
        <v>136</v>
      </c>
    </row>
    <row r="51" spans="1:2" x14ac:dyDescent="0.35">
      <c r="A51" t="s">
        <v>137</v>
      </c>
      <c r="B51" s="2">
        <v>54953</v>
      </c>
    </row>
    <row r="52" spans="1:2" x14ac:dyDescent="0.35">
      <c r="A52" t="s">
        <v>129</v>
      </c>
      <c r="B52" s="2">
        <v>76575</v>
      </c>
    </row>
    <row r="53" spans="1:2" x14ac:dyDescent="0.35">
      <c r="A53" t="s">
        <v>138</v>
      </c>
      <c r="B53" s="2">
        <f>SUM(B51)-B52</f>
        <v>-21622</v>
      </c>
    </row>
    <row r="54" spans="1:2" x14ac:dyDescent="0.35">
      <c r="A54" t="s">
        <v>139</v>
      </c>
      <c r="B54" s="2">
        <v>22915</v>
      </c>
    </row>
    <row r="55" spans="1:2" x14ac:dyDescent="0.35">
      <c r="A55" t="s">
        <v>130</v>
      </c>
      <c r="B55" s="2">
        <f>SUM(B53)+B54</f>
        <v>1293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FEF0-3E63-4629-985B-1888D878B620}">
  <dimension ref="A1:F20"/>
  <sheetViews>
    <sheetView topLeftCell="A3" workbookViewId="0">
      <selection activeCell="B10" sqref="B10"/>
    </sheetView>
  </sheetViews>
  <sheetFormatPr defaultRowHeight="14.5" x14ac:dyDescent="0.35"/>
  <cols>
    <col min="1" max="1" width="28.90625" customWidth="1"/>
    <col min="2" max="2" width="11.81640625" customWidth="1"/>
    <col min="3" max="3" width="15" customWidth="1"/>
    <col min="4" max="4" width="20.08984375" customWidth="1"/>
    <col min="5" max="5" width="17.36328125" customWidth="1"/>
    <col min="6" max="6" width="22.6328125" customWidth="1"/>
  </cols>
  <sheetData>
    <row r="1" spans="1:6" x14ac:dyDescent="0.35">
      <c r="A1" t="s">
        <v>93</v>
      </c>
    </row>
    <row r="3" spans="1:6" x14ac:dyDescent="0.35">
      <c r="A3" s="1" t="s">
        <v>77</v>
      </c>
      <c r="B3" s="1" t="s">
        <v>39</v>
      </c>
      <c r="C3" s="1" t="s">
        <v>97</v>
      </c>
      <c r="D3" s="1" t="s">
        <v>96</v>
      </c>
      <c r="E3" s="9" t="s">
        <v>98</v>
      </c>
      <c r="F3" s="9" t="s">
        <v>94</v>
      </c>
    </row>
    <row r="4" spans="1:6" x14ac:dyDescent="0.35">
      <c r="A4" t="s">
        <v>78</v>
      </c>
      <c r="B4" s="2">
        <v>0</v>
      </c>
      <c r="C4" s="2">
        <v>0</v>
      </c>
      <c r="D4" s="2">
        <f>SUM(B4:C4)</f>
        <v>0</v>
      </c>
    </row>
    <row r="5" spans="1:6" x14ac:dyDescent="0.35">
      <c r="A5" t="s">
        <v>79</v>
      </c>
      <c r="B5" s="2">
        <v>7850</v>
      </c>
      <c r="C5" s="2">
        <v>0</v>
      </c>
      <c r="D5" s="2">
        <f>SUM(B5:C5)</f>
        <v>7850</v>
      </c>
    </row>
    <row r="6" spans="1:6" x14ac:dyDescent="0.35">
      <c r="A6" t="s">
        <v>80</v>
      </c>
      <c r="B6" s="2">
        <v>0</v>
      </c>
      <c r="C6" s="2">
        <v>0</v>
      </c>
      <c r="D6" s="2">
        <f t="shared" ref="D6:D18" si="0">SUM(B6:C6)</f>
        <v>0</v>
      </c>
    </row>
    <row r="7" spans="1:6" x14ac:dyDescent="0.35">
      <c r="A7" t="s">
        <v>81</v>
      </c>
      <c r="B7" s="2">
        <v>0</v>
      </c>
      <c r="C7" s="2">
        <v>0</v>
      </c>
      <c r="D7" s="2">
        <f t="shared" si="0"/>
        <v>0</v>
      </c>
    </row>
    <row r="8" spans="1:6" x14ac:dyDescent="0.35">
      <c r="A8" t="s">
        <v>82</v>
      </c>
      <c r="B8" s="2">
        <v>0</v>
      </c>
      <c r="C8" s="2">
        <v>0</v>
      </c>
      <c r="D8" s="2">
        <f t="shared" si="0"/>
        <v>0</v>
      </c>
    </row>
    <row r="9" spans="1:6" x14ac:dyDescent="0.35">
      <c r="A9" t="s">
        <v>89</v>
      </c>
      <c r="B9" s="2">
        <v>0</v>
      </c>
      <c r="C9" s="2">
        <v>0</v>
      </c>
      <c r="D9" s="2">
        <f t="shared" si="0"/>
        <v>0</v>
      </c>
    </row>
    <row r="10" spans="1:6" x14ac:dyDescent="0.35">
      <c r="A10" t="s">
        <v>90</v>
      </c>
      <c r="B10" s="2">
        <v>0</v>
      </c>
      <c r="C10" s="2">
        <v>0</v>
      </c>
      <c r="D10" s="2">
        <f t="shared" si="0"/>
        <v>0</v>
      </c>
    </row>
    <row r="11" spans="1:6" x14ac:dyDescent="0.35">
      <c r="A11" t="s">
        <v>83</v>
      </c>
      <c r="B11" s="2">
        <v>0</v>
      </c>
      <c r="C11" s="2">
        <v>0</v>
      </c>
      <c r="D11" s="2">
        <f t="shared" si="0"/>
        <v>0</v>
      </c>
    </row>
    <row r="12" spans="1:6" x14ac:dyDescent="0.35">
      <c r="A12" t="s">
        <v>84</v>
      </c>
      <c r="B12" s="2">
        <v>0</v>
      </c>
      <c r="C12" s="2">
        <v>0</v>
      </c>
      <c r="D12" s="2">
        <f t="shared" si="0"/>
        <v>0</v>
      </c>
    </row>
    <row r="13" spans="1:6" x14ac:dyDescent="0.35">
      <c r="A13" t="s">
        <v>85</v>
      </c>
      <c r="B13" s="2">
        <v>0</v>
      </c>
      <c r="C13" s="2">
        <v>0</v>
      </c>
      <c r="D13" s="2">
        <f t="shared" si="0"/>
        <v>0</v>
      </c>
    </row>
    <row r="14" spans="1:6" x14ac:dyDescent="0.35">
      <c r="A14" t="s">
        <v>86</v>
      </c>
      <c r="B14" s="2">
        <v>0</v>
      </c>
      <c r="C14" s="2">
        <v>0</v>
      </c>
      <c r="D14" s="2">
        <f t="shared" si="0"/>
        <v>0</v>
      </c>
    </row>
    <row r="15" spans="1:6" x14ac:dyDescent="0.35">
      <c r="A15" t="s">
        <v>87</v>
      </c>
      <c r="B15" s="2">
        <v>2192.0700000000002</v>
      </c>
      <c r="C15" s="2" t="s">
        <v>159</v>
      </c>
      <c r="D15" s="2">
        <f t="shared" si="0"/>
        <v>2192.0700000000002</v>
      </c>
    </row>
    <row r="16" spans="1:6" x14ac:dyDescent="0.35">
      <c r="A16" t="s">
        <v>88</v>
      </c>
      <c r="B16" s="2">
        <v>20787.310000000001</v>
      </c>
      <c r="C16" s="2">
        <v>-3146</v>
      </c>
      <c r="D16" s="2">
        <f t="shared" si="0"/>
        <v>17641.310000000001</v>
      </c>
    </row>
    <row r="17" spans="1:6" x14ac:dyDescent="0.35">
      <c r="A17" t="s">
        <v>91</v>
      </c>
      <c r="B17" s="2">
        <v>14500</v>
      </c>
      <c r="C17" s="2">
        <v>-14500</v>
      </c>
      <c r="D17" s="2">
        <f t="shared" si="0"/>
        <v>0</v>
      </c>
    </row>
    <row r="18" spans="1:6" ht="15" thickBot="1" x14ac:dyDescent="0.4">
      <c r="A18" t="s">
        <v>92</v>
      </c>
      <c r="B18" s="7">
        <v>3077.4</v>
      </c>
      <c r="C18" s="7">
        <v>262.64999999999998</v>
      </c>
      <c r="D18" s="7">
        <f t="shared" si="0"/>
        <v>3340.05</v>
      </c>
    </row>
    <row r="19" spans="1:6" ht="15.5" thickTop="1" thickBot="1" x14ac:dyDescent="0.4">
      <c r="A19" t="s">
        <v>95</v>
      </c>
      <c r="B19" s="7">
        <f>SUM(B4:B18)</f>
        <v>48406.780000000006</v>
      </c>
      <c r="C19" s="7">
        <f t="shared" ref="C19:D19" si="1">SUM(C4:C18)</f>
        <v>-17383.349999999999</v>
      </c>
      <c r="D19" s="7">
        <f t="shared" si="1"/>
        <v>31023.43</v>
      </c>
      <c r="E19" s="7">
        <f t="shared" ref="E19" si="2">SUM(E4:E18)</f>
        <v>0</v>
      </c>
      <c r="F19" s="7">
        <f t="shared" ref="F19" si="3">SUM(F4:F18)</f>
        <v>0</v>
      </c>
    </row>
    <row r="20" spans="1:6" ht="15" thickTop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D6BA-1412-4192-AA31-24A7BA1294BF}">
  <dimension ref="A1:Q55"/>
  <sheetViews>
    <sheetView workbookViewId="0"/>
  </sheetViews>
  <sheetFormatPr defaultRowHeight="14.5" x14ac:dyDescent="0.35"/>
  <cols>
    <col min="1" max="1" width="26.36328125" customWidth="1"/>
    <col min="2" max="2" width="12.54296875" customWidth="1"/>
    <col min="3" max="3" width="12" customWidth="1"/>
    <col min="4" max="4" width="10.453125" customWidth="1"/>
    <col min="5" max="5" width="10.6328125" customWidth="1"/>
  </cols>
  <sheetData>
    <row r="1" spans="1:17" x14ac:dyDescent="0.35">
      <c r="A1" t="s">
        <v>16</v>
      </c>
    </row>
    <row r="3" spans="1:17" x14ac:dyDescent="0.35">
      <c r="B3" t="s">
        <v>148</v>
      </c>
      <c r="C3" t="s">
        <v>149</v>
      </c>
      <c r="D3" t="s">
        <v>147</v>
      </c>
      <c r="E3" t="s">
        <v>12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0</v>
      </c>
      <c r="P3" t="s">
        <v>1</v>
      </c>
      <c r="Q3" t="s">
        <v>2</v>
      </c>
    </row>
    <row r="4" spans="1:17" x14ac:dyDescent="0.35">
      <c r="A4" s="1" t="s">
        <v>15</v>
      </c>
      <c r="B4" s="1"/>
      <c r="C4" s="1"/>
      <c r="D4" s="1"/>
    </row>
    <row r="5" spans="1:17" x14ac:dyDescent="0.35">
      <c r="A5" t="s">
        <v>13</v>
      </c>
    </row>
    <row r="6" spans="1:17" x14ac:dyDescent="0.35">
      <c r="A6" t="s">
        <v>14</v>
      </c>
      <c r="D6">
        <f>SUM(E6:Q6)</f>
        <v>150.96</v>
      </c>
      <c r="F6">
        <v>12.58</v>
      </c>
      <c r="G6">
        <v>12.58</v>
      </c>
      <c r="H6">
        <v>12.58</v>
      </c>
      <c r="I6">
        <v>12.58</v>
      </c>
      <c r="J6">
        <v>12.58</v>
      </c>
      <c r="K6">
        <v>12.58</v>
      </c>
      <c r="L6">
        <v>12.58</v>
      </c>
      <c r="M6">
        <v>12.58</v>
      </c>
      <c r="N6">
        <v>12.58</v>
      </c>
      <c r="O6">
        <v>12.58</v>
      </c>
      <c r="P6">
        <v>12.58</v>
      </c>
      <c r="Q6">
        <v>12.58</v>
      </c>
    </row>
    <row r="7" spans="1:17" x14ac:dyDescent="0.35">
      <c r="A7" t="s">
        <v>140</v>
      </c>
      <c r="D7">
        <f>SUM(E7:Q7)</f>
        <v>72</v>
      </c>
      <c r="F7">
        <v>18</v>
      </c>
      <c r="I7">
        <v>18</v>
      </c>
      <c r="L7">
        <v>18</v>
      </c>
      <c r="O7">
        <v>18</v>
      </c>
    </row>
    <row r="8" spans="1:17" x14ac:dyDescent="0.35">
      <c r="A8" t="s">
        <v>141</v>
      </c>
      <c r="D8">
        <f>SUM(E8:Q8)</f>
        <v>36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  <c r="Q8">
        <v>3</v>
      </c>
    </row>
    <row r="12" spans="1:17" x14ac:dyDescent="0.35">
      <c r="A12" t="s">
        <v>105</v>
      </c>
    </row>
    <row r="13" spans="1:17" x14ac:dyDescent="0.35">
      <c r="A13" t="s">
        <v>29</v>
      </c>
    </row>
    <row r="15" spans="1:17" x14ac:dyDescent="0.35">
      <c r="A15" s="1" t="s">
        <v>21</v>
      </c>
      <c r="B15" s="1"/>
      <c r="C15" s="1"/>
      <c r="D15" s="1"/>
    </row>
    <row r="16" spans="1:17" x14ac:dyDescent="0.35">
      <c r="A16" t="s">
        <v>22</v>
      </c>
    </row>
    <row r="17" spans="1:4" x14ac:dyDescent="0.35">
      <c r="A17" t="s">
        <v>30</v>
      </c>
    </row>
    <row r="18" spans="1:4" x14ac:dyDescent="0.35">
      <c r="A18" t="s">
        <v>23</v>
      </c>
    </row>
    <row r="19" spans="1:4" x14ac:dyDescent="0.35">
      <c r="A19" t="s">
        <v>24</v>
      </c>
    </row>
    <row r="20" spans="1:4" x14ac:dyDescent="0.35">
      <c r="A20" t="s">
        <v>25</v>
      </c>
    </row>
    <row r="21" spans="1:4" x14ac:dyDescent="0.35">
      <c r="A21" t="s">
        <v>26</v>
      </c>
    </row>
    <row r="22" spans="1:4" x14ac:dyDescent="0.35">
      <c r="A22" t="s">
        <v>27</v>
      </c>
    </row>
    <row r="23" spans="1:4" x14ac:dyDescent="0.35">
      <c r="A23" t="s">
        <v>28</v>
      </c>
    </row>
    <row r="24" spans="1:4" x14ac:dyDescent="0.35">
      <c r="A24" t="s">
        <v>142</v>
      </c>
    </row>
    <row r="28" spans="1:4" x14ac:dyDescent="0.35">
      <c r="A28" s="1" t="s">
        <v>17</v>
      </c>
      <c r="B28" s="1"/>
      <c r="C28" s="1"/>
      <c r="D28" s="1"/>
    </row>
    <row r="29" spans="1:4" x14ac:dyDescent="0.35">
      <c r="A29" t="s">
        <v>18</v>
      </c>
    </row>
    <row r="30" spans="1:4" x14ac:dyDescent="0.35">
      <c r="A30" t="s">
        <v>19</v>
      </c>
    </row>
    <row r="33" spans="1:4" x14ac:dyDescent="0.35">
      <c r="A33" s="1" t="s">
        <v>20</v>
      </c>
      <c r="B33" s="1"/>
      <c r="C33" s="1"/>
      <c r="D33" s="1"/>
    </row>
    <row r="40" spans="1:4" x14ac:dyDescent="0.35">
      <c r="A40" t="s">
        <v>31</v>
      </c>
    </row>
    <row r="41" spans="1:4" x14ac:dyDescent="0.35">
      <c r="A41" t="s">
        <v>32</v>
      </c>
    </row>
    <row r="44" spans="1:4" x14ac:dyDescent="0.35">
      <c r="A44" t="s">
        <v>33</v>
      </c>
    </row>
    <row r="45" spans="1:4" x14ac:dyDescent="0.35">
      <c r="A45" t="s">
        <v>34</v>
      </c>
    </row>
    <row r="46" spans="1:4" x14ac:dyDescent="0.35">
      <c r="A46" t="s">
        <v>35</v>
      </c>
    </row>
    <row r="47" spans="1:4" x14ac:dyDescent="0.35">
      <c r="A47" t="s">
        <v>36</v>
      </c>
    </row>
    <row r="48" spans="1:4" x14ac:dyDescent="0.35">
      <c r="A48" t="s">
        <v>37</v>
      </c>
    </row>
    <row r="49" spans="1:1" x14ac:dyDescent="0.35">
      <c r="A49" t="s">
        <v>38</v>
      </c>
    </row>
    <row r="52" spans="1:1" x14ac:dyDescent="0.35">
      <c r="A52" t="s">
        <v>143</v>
      </c>
    </row>
    <row r="53" spans="1:1" x14ac:dyDescent="0.35">
      <c r="A53" t="s">
        <v>144</v>
      </c>
    </row>
    <row r="54" spans="1:1" x14ac:dyDescent="0.35">
      <c r="A54" t="s">
        <v>145</v>
      </c>
    </row>
    <row r="55" spans="1:1" x14ac:dyDescent="0.35">
      <c r="A55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Expentiture</vt:lpstr>
      <vt:lpstr>22.23 Income</vt:lpstr>
      <vt:lpstr>Earmarked Reserves</vt:lpstr>
      <vt:lpstr>23.24 Year end 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clerk@claygateparishcouncil.gov.uk</dc:creator>
  <cp:lastModifiedBy>Donna Holt</cp:lastModifiedBy>
  <cp:lastPrinted>2024-01-26T14:23:35Z</cp:lastPrinted>
  <dcterms:created xsi:type="dcterms:W3CDTF">2023-11-13T10:20:44Z</dcterms:created>
  <dcterms:modified xsi:type="dcterms:W3CDTF">2025-01-02T10:51:13Z</dcterms:modified>
</cp:coreProperties>
</file>